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20" yWindow="180" windowWidth="8430" windowHeight="8580" activeTab="1"/>
  </bookViews>
  <sheets>
    <sheet name="Charakter" sheetId="1" r:id="rId1"/>
    <sheet name="Fertigkeiten" sheetId="2" r:id="rId2"/>
    <sheet name="Ausrüstung" sheetId="3" r:id="rId3"/>
    <sheet name="Ver.Werte" sheetId="4" r:id="rId4"/>
    <sheet name="Formeln" sheetId="5" r:id="rId5"/>
    <sheet name="Stufentabelle" sheetId="6" r:id="rId6"/>
  </sheets>
  <definedNames>
    <definedName name="AUSD" localSheetId="2">'Charakter'!$E$18</definedName>
    <definedName name="AUSD">'Charakter'!$E$18</definedName>
    <definedName name="AUSS" localSheetId="2">'Charakter'!$E$14</definedName>
    <definedName name="AUSS">'Charakter'!$E$14</definedName>
    <definedName name="AW_1" localSheetId="2">'Charakter'!$J$35</definedName>
    <definedName name="AW_1">'Charakter'!$J$35</definedName>
    <definedName name="AW_2" localSheetId="2">'Charakter'!$J$36</definedName>
    <definedName name="AW_2">'Charakter'!$J$36</definedName>
    <definedName name="AW_3" localSheetId="2">'Charakter'!$J$37</definedName>
    <definedName name="AW_3">'Charakter'!$J$37</definedName>
    <definedName name="AW_4" localSheetId="2">'Charakter'!$J$38</definedName>
    <definedName name="AW_4">'Charakter'!$J$38</definedName>
    <definedName name="AW_5" localSheetId="2">'Charakter'!$J$39</definedName>
    <definedName name="AW_5">'Charakter'!$J$39</definedName>
    <definedName name="AW_6" localSheetId="2">'Charakter'!$J$40</definedName>
    <definedName name="AW_6">'Charakter'!$J$40</definedName>
    <definedName name="AW_FKW" localSheetId="2">'Fertigkeiten'!$Q$9</definedName>
    <definedName name="AW_FKW" localSheetId="1">'Fertigkeiten'!$Q$9</definedName>
    <definedName name="AW_FKW">'Fertigkeiten'!$Q$9</definedName>
    <definedName name="BBE" localSheetId="2">'Charakter'!$F$30</definedName>
    <definedName name="BBE">'Charakter'!$F$30</definedName>
    <definedName name="BE" localSheetId="2">'Charakter'!$G$30</definedName>
    <definedName name="BE">'Charakter'!$G$30</definedName>
    <definedName name="BE_Bonus" localSheetId="2">'Ver.Werte'!$L$10</definedName>
    <definedName name="BE_Bonus">'Ver.Werte'!$L$10</definedName>
    <definedName name="BKAP_Bonus" localSheetId="2">'Ver.Werte'!$I$12</definedName>
    <definedName name="BKAP_Bonus">'Ver.Werte'!$I$12</definedName>
    <definedName name="BSP_1" localSheetId="2">'Formeln'!$N$44</definedName>
    <definedName name="BSP_1">'Formeln'!$N$44</definedName>
    <definedName name="BSP_2" localSheetId="2">'Formeln'!$N$45</definedName>
    <definedName name="BSP_2">'Formeln'!$N$45</definedName>
    <definedName name="BSP_3" localSheetId="2">'Formeln'!$N$46</definedName>
    <definedName name="BSP_3">'Formeln'!$N$46</definedName>
    <definedName name="BSP_4" localSheetId="2">'Formeln'!$N$47</definedName>
    <definedName name="BSP_4">'Formeln'!$N$47</definedName>
    <definedName name="BSP_5" localSheetId="2">'Formeln'!$N$48</definedName>
    <definedName name="BSP_5">'Formeln'!$N$48</definedName>
    <definedName name="BSP_6" localSheetId="2">'Formeln'!$N$49</definedName>
    <definedName name="BSP_6">'Formeln'!$N$49</definedName>
    <definedName name="BSP_7" localSheetId="2">'Formeln'!$N$50</definedName>
    <definedName name="BSP_7">'Formeln'!$N$50</definedName>
    <definedName name="BSP_8" localSheetId="2">'Formeln'!$N$51</definedName>
    <definedName name="BSP_8">'Formeln'!$N$51</definedName>
    <definedName name="BSP_9" localSheetId="2">'Formeln'!$N$52</definedName>
    <definedName name="BSP_9">'Formeln'!$N$52</definedName>
    <definedName name="BSP_Bonus" localSheetId="2">'Ver.Werte'!$L$12</definedName>
    <definedName name="BSP_Bonus">'Ver.Werte'!$L$12</definedName>
    <definedName name="BSP_HKW" localSheetId="2">'Formeln'!$N$43</definedName>
    <definedName name="BSP_HKW">'Formeln'!$N$43</definedName>
    <definedName name="GE" localSheetId="2">'Charakter'!$E$20</definedName>
    <definedName name="GE">'Charakter'!$E$20</definedName>
    <definedName name="Gesamtgewicht">'Ausrüstung'!$H$61</definedName>
    <definedName name="HKW" localSheetId="2">'Formeln'!$D$43</definedName>
    <definedName name="HKW">'Formeln'!$D$43</definedName>
    <definedName name="INS" localSheetId="2">'Charakter'!$H$22</definedName>
    <definedName name="INS">'Charakter'!$H$22</definedName>
    <definedName name="INS_Bonus" localSheetId="2">'Ver.Werte'!$G$10</definedName>
    <definedName name="INS_Bonus">'Ver.Werte'!$G$10</definedName>
    <definedName name="IW_Bonus" localSheetId="2">'Ver.Werte'!$E$10</definedName>
    <definedName name="IW_Bonus">'Ver.Werte'!$E$10</definedName>
    <definedName name="IW_HKW" localSheetId="2">'Formeln'!$H$43</definedName>
    <definedName name="IW_HKW">'Formeln'!$H$43</definedName>
    <definedName name="IW_NW1" localSheetId="2">'Formeln'!$H$44</definedName>
    <definedName name="IW_NW1">'Formeln'!$H$44</definedName>
    <definedName name="IW_NW2" localSheetId="2">'Formeln'!$H$45</definedName>
    <definedName name="IW_NW2">'Formeln'!$H$45</definedName>
    <definedName name="IW_NW3" localSheetId="2">'Formeln'!$H$46</definedName>
    <definedName name="IW_NW3">'Formeln'!$H$46</definedName>
    <definedName name="IW_NW4" localSheetId="2">'Formeln'!$H$47</definedName>
    <definedName name="IW_NW4">'Formeln'!$H$47</definedName>
    <definedName name="IW_NW5" localSheetId="2">'Formeln'!$H$48</definedName>
    <definedName name="IW_NW5">'Formeln'!$H$48</definedName>
    <definedName name="KEP_Punkte" localSheetId="2">'Charakter'!$G$19</definedName>
    <definedName name="KEP_Punkte">'Charakter'!$G$19</definedName>
    <definedName name="KEP_Stufe">'Charakter'!$H$14</definedName>
    <definedName name="KF" localSheetId="2">'Charakter'!$H$27</definedName>
    <definedName name="KF">'Charakter'!$H$27</definedName>
    <definedName name="KF_Bonus" localSheetId="2">'Ver.Werte'!$K$10</definedName>
    <definedName name="KF_Bonus">'Ver.Werte'!$K$10</definedName>
    <definedName name="KK" localSheetId="2">'Charakter'!$E$19</definedName>
    <definedName name="KK">'Charakter'!$E$19</definedName>
    <definedName name="KKB_1" localSheetId="2">'Formeln'!$K$44</definedName>
    <definedName name="KKB_1">'Formeln'!$K$44</definedName>
    <definedName name="KKB_2" localSheetId="2">'Formeln'!$K$45</definedName>
    <definedName name="KKB_2">'Formeln'!$K$45</definedName>
    <definedName name="KKB_3" localSheetId="2">'Formeln'!$K$46</definedName>
    <definedName name="KKB_3">'Formeln'!$K$46</definedName>
    <definedName name="KKB_4" localSheetId="2">'Formeln'!$K$47</definedName>
    <definedName name="KKB_4">'Formeln'!$K$47</definedName>
    <definedName name="KKB_5" localSheetId="2">'Formeln'!$K$48</definedName>
    <definedName name="KKB_5">'Formeln'!$K$48</definedName>
    <definedName name="KKB_6" localSheetId="2">'Formeln'!$K$49</definedName>
    <definedName name="KKB_6">'Formeln'!$K$49</definedName>
    <definedName name="KKB_7" localSheetId="2">'Formeln'!$K$50</definedName>
    <definedName name="KKB_7">'Formeln'!$K$50</definedName>
    <definedName name="KKB_8" localSheetId="2">'Formeln'!$K$51</definedName>
    <definedName name="KKB_8">'Formeln'!$K$51</definedName>
    <definedName name="KKB_9" localSheetId="2">'Formeln'!$K$52</definedName>
    <definedName name="KKB_9">'Formeln'!$K$52</definedName>
    <definedName name="KKB_Bonus" localSheetId="2">'Ver.Werte'!$K$12</definedName>
    <definedName name="KKB_Bonus">'Ver.Werte'!$K$12</definedName>
    <definedName name="KKB_HKW" localSheetId="2">'Formeln'!$K$43</definedName>
    <definedName name="KKB_HKW">'Formeln'!$K$43</definedName>
    <definedName name="KL" localSheetId="2">'Charakter'!$E$15</definedName>
    <definedName name="KL">'Charakter'!$E$15</definedName>
    <definedName name="Name" localSheetId="2">'Charakter'!$C$7</definedName>
    <definedName name="Name">'Charakter'!$C$7</definedName>
    <definedName name="Naturbeobachtung" localSheetId="1">'Fertigkeiten'!$Q$33</definedName>
    <definedName name="Naturbeobachtung">'Fertigkeiten'!$Q$33</definedName>
    <definedName name="NW_1" localSheetId="2">'Formeln'!$D$44</definedName>
    <definedName name="NW_1">'Formeln'!$D$44</definedName>
    <definedName name="NW_2" localSheetId="2">'Formeln'!$D$45</definedName>
    <definedName name="NW_2">'Formeln'!$D$45</definedName>
    <definedName name="NW_3" localSheetId="2">'Formeln'!$D$46</definedName>
    <definedName name="NW_3">'Formeln'!$D$46</definedName>
    <definedName name="NW_4" localSheetId="2">'Formeln'!$D$47</definedName>
    <definedName name="NW_4">'Formeln'!$D$47</definedName>
    <definedName name="NW_5" localSheetId="2">'Formeln'!$D$48</definedName>
    <definedName name="NW_5">'Formeln'!$D$48</definedName>
    <definedName name="R_BKAP1" localSheetId="2">'Charakter'!$H$30</definedName>
    <definedName name="R_BKAP1">'Charakter'!$H$30</definedName>
    <definedName name="R_BKAP2" localSheetId="2">'Charakter'!$H$31</definedName>
    <definedName name="R_BKAP2">'Charakter'!$H$31</definedName>
    <definedName name="R_BKAP3" localSheetId="2">'Charakter'!$H$32</definedName>
    <definedName name="R_BKAP3">'Charakter'!$H$32</definedName>
    <definedName name="Reiten" localSheetId="1">'Fertigkeiten'!$Q$21</definedName>
    <definedName name="Reiten">'Fertigkeiten'!$Q$21</definedName>
    <definedName name="Ringkampf" localSheetId="2">'Fertigkeiten'!$Q$14</definedName>
    <definedName name="Ringkampf" localSheetId="1">'Fertigkeiten'!$Q$14</definedName>
    <definedName name="Ringkampf">'Fertigkeiten'!$Q$14</definedName>
    <definedName name="RZ1">'Charakter'!$E$24</definedName>
    <definedName name="RZ2">'Charakter'!$E$25</definedName>
    <definedName name="RZ3">'Charakter'!$E$26</definedName>
    <definedName name="RZ4">'Charakter'!$E$27</definedName>
    <definedName name="Schild" localSheetId="2">'Fertigkeiten'!$Q$10</definedName>
    <definedName name="Schild" localSheetId="1">'Fertigkeiten'!$Q$10</definedName>
    <definedName name="Schild">'Fertigkeiten'!$Q$10</definedName>
    <definedName name="ST" localSheetId="2">'Charakter'!$H$24</definedName>
    <definedName name="ST">'Charakter'!$H$24</definedName>
    <definedName name="ST_Bonus" localSheetId="2">'Ver.Werte'!$J$10</definedName>
    <definedName name="ST_Bonus">'Ver.Werte'!$J$10</definedName>
    <definedName name="StufenAW" localSheetId="2">'Ver.Werte'!$J$61</definedName>
    <definedName name="StufenAW">'Ver.Werte'!$J$61</definedName>
    <definedName name="StufenMKP">'Ver.Werte'!$H$61</definedName>
    <definedName name="StufenMKZ">'Ver.Werte'!$H$61</definedName>
    <definedName name="StufenVIP" localSheetId="2">'Ver.Werte'!$F$61</definedName>
    <definedName name="StufenVIP">'Ver.Werte'!$F$61</definedName>
    <definedName name="StufenVW" localSheetId="2">'Ver.Werte'!$L$61</definedName>
    <definedName name="StufenVW">'Ver.Werte'!$L$61</definedName>
    <definedName name="TAK" localSheetId="2">'Charakter'!$E$17</definedName>
    <definedName name="TAK">'Charakter'!$E$17</definedName>
    <definedName name="TB">'Ausrüstung'!$C$60</definedName>
    <definedName name="TG">'Ausrüstung'!$G$60</definedName>
    <definedName name="Tiere_zähmen" localSheetId="1">'Fertigkeiten'!$Q$62</definedName>
    <definedName name="Tiere_zähmen">'Fertigkeiten'!$Q$62</definedName>
    <definedName name="Tragkraft" localSheetId="2">'Charakter'!$J$10</definedName>
    <definedName name="Tragkraft">'Charakter'!$J$10</definedName>
    <definedName name="TS">'Ausrüstung'!$E$60</definedName>
    <definedName name="Typus" localSheetId="2">'Charakter'!$C$8</definedName>
    <definedName name="Typus">'Charakter'!$C$8</definedName>
    <definedName name="UrAUSD" localSheetId="2">'Charakter'!$C$18</definedName>
    <definedName name="UrAUSD">'Charakter'!$C$18</definedName>
    <definedName name="UrAUSS">'Charakter'!$C$14</definedName>
    <definedName name="UrGE">'Charakter'!$C$20</definedName>
    <definedName name="UrINS" localSheetId="2">'Ver.Werte'!$F$10</definedName>
    <definedName name="UrINS">'Ver.Werte'!$F$10</definedName>
    <definedName name="UrKK" localSheetId="2">'Charakter'!$C$19</definedName>
    <definedName name="UrKK">'Charakter'!$C$19</definedName>
    <definedName name="UrKL">'Charakter'!$C$15</definedName>
    <definedName name="UrMKZ">'Ver.Werte'!$H$10</definedName>
    <definedName name="UrRZ1" localSheetId="2">'Charakter'!$D$24</definedName>
    <definedName name="UrRZ1">'Charakter'!$D$24</definedName>
    <definedName name="UrRZ2" localSheetId="2">'Charakter'!$D$25</definedName>
    <definedName name="UrRZ2">'Charakter'!$D$25</definedName>
    <definedName name="UrRZ3" localSheetId="2">'Charakter'!$D$26</definedName>
    <definedName name="UrRZ3">'Charakter'!$D$26</definedName>
    <definedName name="UrRZ4" localSheetId="2">'Charakter'!$D$27</definedName>
    <definedName name="UrRZ4">'Charakter'!$D$27</definedName>
    <definedName name="UrTAK">'Charakter'!$C$17</definedName>
    <definedName name="UrVIP" localSheetId="2">'Ver.Werte'!$I$10</definedName>
    <definedName name="UrVIP">'Ver.Werte'!$I$10</definedName>
    <definedName name="UrWEI">'Charakter'!$C$16</definedName>
    <definedName name="VW_1" localSheetId="2">'Charakter'!$K$35</definedName>
    <definedName name="VW_1">'Charakter'!$K$35</definedName>
    <definedName name="VW_2" localSheetId="2">'Charakter'!$K$36</definedName>
    <definedName name="VW_2">'Charakter'!$K$36</definedName>
    <definedName name="VW_3" localSheetId="2">'Charakter'!$K$37</definedName>
    <definedName name="VW_3">'Charakter'!$K$37</definedName>
    <definedName name="VW_4" localSheetId="2">'Charakter'!$K$38</definedName>
    <definedName name="VW_4">'Charakter'!$K$38</definedName>
    <definedName name="VW_5" localSheetId="2">'Charakter'!$K$39</definedName>
    <definedName name="VW_5">'Charakter'!$K$39</definedName>
    <definedName name="VW_6" localSheetId="2">'Charakter'!$K$40</definedName>
    <definedName name="VW_6">'Charakter'!$K$40</definedName>
    <definedName name="Waffengewicht" localSheetId="2">'Formeln'!$Q$53</definedName>
    <definedName name="Waffengewicht">'Formeln'!$Q$53</definedName>
    <definedName name="WEI" localSheetId="2">'Charakter'!$E$16</definedName>
    <definedName name="WEI">'Charakter'!$E$16</definedName>
    <definedName name="WEP_Punkte" localSheetId="2">'Charakter'!$G$16</definedName>
    <definedName name="WEP_Punkte">'Charakter'!$G$16</definedName>
    <definedName name="WEP_Stufe">'Charakter'!$G$14</definedName>
    <definedName name="ZP_Bonus">'Ver.Werte'!$J$12</definedName>
    <definedName name="ZT">'Charakter'!$H$26</definedName>
  </definedNames>
  <calcPr fullCalcOnLoad="1"/>
</workbook>
</file>

<file path=xl/sharedStrings.xml><?xml version="1.0" encoding="utf-8"?>
<sst xmlns="http://schemas.openxmlformats.org/spreadsheetml/2006/main" count="368" uniqueCount="280">
  <si>
    <t>Ruf des Warlock</t>
  </si>
  <si>
    <t>HINTERGRUNDDATEN:</t>
  </si>
  <si>
    <t>Name:</t>
  </si>
  <si>
    <t>Beruf:</t>
  </si>
  <si>
    <t>Alter:</t>
  </si>
  <si>
    <t>Größe:</t>
  </si>
  <si>
    <t>Gewicht:</t>
  </si>
  <si>
    <t>Wert:</t>
  </si>
  <si>
    <t>Figur:</t>
  </si>
  <si>
    <t>VIP</t>
  </si>
  <si>
    <t>KAP</t>
  </si>
  <si>
    <t>KEP-Punkte</t>
  </si>
  <si>
    <t>WEP-Punkte</t>
  </si>
  <si>
    <t>TYP</t>
  </si>
  <si>
    <t>INI</t>
  </si>
  <si>
    <t>KKB</t>
  </si>
  <si>
    <t>BSP</t>
  </si>
  <si>
    <t>WF</t>
  </si>
  <si>
    <t>AUSRÜSTUNG</t>
  </si>
  <si>
    <t>AUSS</t>
  </si>
  <si>
    <t>KL</t>
  </si>
  <si>
    <t>AUSD</t>
  </si>
  <si>
    <t>KK</t>
  </si>
  <si>
    <t>GE</t>
  </si>
  <si>
    <t>Waffenfertigkeiten</t>
  </si>
  <si>
    <t>Kampf mit Schild</t>
  </si>
  <si>
    <t>Kampf zu Pferd</t>
  </si>
  <si>
    <t>Kampf mit zwei Waffen</t>
  </si>
  <si>
    <t>Kampf mit "Ersatzwaffen"</t>
  </si>
  <si>
    <t>Ringkampf</t>
  </si>
  <si>
    <t>Instandsetzung von Waffen</t>
  </si>
  <si>
    <t>Körperfertigkeiten</t>
  </si>
  <si>
    <t>Laufen</t>
  </si>
  <si>
    <t>Schwimmen und Tauchen</t>
  </si>
  <si>
    <t>Klettern und Balancieren</t>
  </si>
  <si>
    <t>Reiten</t>
  </si>
  <si>
    <t>Geräuschloses Handeln</t>
  </si>
  <si>
    <t>Taschendiebstahl</t>
  </si>
  <si>
    <t>Verbergen*</t>
  </si>
  <si>
    <t>Schlösser öffnen</t>
  </si>
  <si>
    <t>Wahrnehmungs- und Wildnisfertigkeiten</t>
  </si>
  <si>
    <t>Lauschen</t>
  </si>
  <si>
    <t>Übersinnliche Wahrnehmung*</t>
  </si>
  <si>
    <t>Naturbeobachtung*</t>
  </si>
  <si>
    <t>Nahrung beschaffen</t>
  </si>
  <si>
    <t>Tarnen*</t>
  </si>
  <si>
    <t>Orientierungskunst</t>
  </si>
  <si>
    <t>Fallen stellen</t>
  </si>
  <si>
    <t>Fährten lesen</t>
  </si>
  <si>
    <t>Wissens- und Heilfertigkeiten</t>
  </si>
  <si>
    <t>Lesen und Schreiben</t>
  </si>
  <si>
    <t>Völker und Landeskunde</t>
  </si>
  <si>
    <t>Pflanzenkenntnisse*</t>
  </si>
  <si>
    <t>Gifte und Tränke identifizieren</t>
  </si>
  <si>
    <t>Gift und Gegengift herstellen*</t>
  </si>
  <si>
    <t>Heilmittel erkennen</t>
  </si>
  <si>
    <t>Wunden behandeln</t>
  </si>
  <si>
    <t>Krankheiten behandeln</t>
  </si>
  <si>
    <t>Heiltränke herstellen*</t>
  </si>
  <si>
    <t>Charismatische Fertigkeiten</t>
  </si>
  <si>
    <t>Überredungskunst</t>
  </si>
  <si>
    <t>Verhandlungskunst</t>
  </si>
  <si>
    <t>Zeichensprache/Scharaden</t>
  </si>
  <si>
    <t>Verführungskünste</t>
  </si>
  <si>
    <t>Handeln*</t>
  </si>
  <si>
    <t>Tiere zähmen</t>
  </si>
  <si>
    <t>Glücksspiel</t>
  </si>
  <si>
    <t>Typus:</t>
  </si>
  <si>
    <t>Ausrüstungsliste</t>
  </si>
  <si>
    <t>ORT</t>
  </si>
  <si>
    <t>AW</t>
  </si>
  <si>
    <t>VW</t>
  </si>
  <si>
    <t>*</t>
  </si>
  <si>
    <t>Proben werden vom Master durchgeführt</t>
  </si>
  <si>
    <t>Marschieren</t>
  </si>
  <si>
    <t>Saufen</t>
  </si>
  <si>
    <t>(Reiten+Tiere zähmen+Naturbeob.):3</t>
  </si>
  <si>
    <t>Wagen lenken</t>
  </si>
  <si>
    <t>Technisches Verständnis</t>
  </si>
  <si>
    <t>Segeln</t>
  </si>
  <si>
    <t>Menschenkenntnis</t>
  </si>
  <si>
    <t>BE</t>
  </si>
  <si>
    <t>BBE</t>
  </si>
  <si>
    <t>GEW./g</t>
  </si>
  <si>
    <t>Schicht:</t>
  </si>
  <si>
    <t>Waffenlos</t>
  </si>
  <si>
    <t>S</t>
  </si>
  <si>
    <t>ZH</t>
  </si>
  <si>
    <t>SW</t>
  </si>
  <si>
    <t>LSK</t>
  </si>
  <si>
    <t>STG</t>
  </si>
  <si>
    <t>SSK</t>
  </si>
  <si>
    <t>Tragkr./g:</t>
  </si>
  <si>
    <t>Jetzt:</t>
  </si>
  <si>
    <t>UR-Wert</t>
  </si>
  <si>
    <t>SF</t>
  </si>
  <si>
    <t>UR-Wert:</t>
  </si>
  <si>
    <t>/</t>
  </si>
  <si>
    <t>3W30+12 Jahre</t>
  </si>
  <si>
    <t>1W10+1W30+165(bei Frauen +155)Zentimeter</t>
  </si>
  <si>
    <t>W30: 1-9 schlank 10-24 normal 25-30 breit</t>
  </si>
  <si>
    <t>1: Ausgestoßener</t>
  </si>
  <si>
    <t>2-5: niederes Volk</t>
  </si>
  <si>
    <t>6-18: einfaches Volk</t>
  </si>
  <si>
    <t>19-23: untere Mittelschicht</t>
  </si>
  <si>
    <t>24-27: obere Mittelschicht</t>
  </si>
  <si>
    <t>28-29: Landadel</t>
  </si>
  <si>
    <t>30: Hochadel</t>
  </si>
  <si>
    <t>1-8: keiner; 9-22: 1; 23-27: 2; 28-30: 3</t>
  </si>
  <si>
    <t>KL&gt;16</t>
  </si>
  <si>
    <t>Instinkt:</t>
  </si>
  <si>
    <t>1W10+11</t>
  </si>
  <si>
    <t>Attribute:</t>
  </si>
  <si>
    <t>1W8+11</t>
  </si>
  <si>
    <t>ZT:</t>
  </si>
  <si>
    <t>1W30</t>
  </si>
  <si>
    <t>SW=18 S=15 LSK=12 ZH=9 SSK=6 STG=3; TAK+INS+BE+Faktor</t>
  </si>
  <si>
    <t>Solo-Aw / Block-VW Tabelle</t>
  </si>
  <si>
    <t xml:space="preserve">AW </t>
  </si>
  <si>
    <t>6</t>
  </si>
  <si>
    <t>BLOCK</t>
  </si>
  <si>
    <t>SOLO</t>
  </si>
  <si>
    <t>Gesamtgewicht in Gramm:</t>
  </si>
  <si>
    <t>noch tragbar:</t>
  </si>
  <si>
    <t>Messer</t>
  </si>
  <si>
    <t>Rucksack:</t>
  </si>
  <si>
    <t>Wolldecke (1,3 * 2 m)</t>
  </si>
  <si>
    <t>WEP</t>
  </si>
  <si>
    <t>Stufe</t>
  </si>
  <si>
    <t>KEP</t>
  </si>
  <si>
    <t>Schild:</t>
  </si>
  <si>
    <t>KAP/ZE</t>
  </si>
  <si>
    <t>1W6+…</t>
  </si>
  <si>
    <t>1W4+…</t>
  </si>
  <si>
    <t>Sprachen</t>
  </si>
  <si>
    <t>Veränderliche Werte eines RdW-Charakters</t>
  </si>
  <si>
    <t>Datum:</t>
  </si>
  <si>
    <t>WEP/KEP-Stufe</t>
  </si>
  <si>
    <t>Alter</t>
  </si>
  <si>
    <t>Figur</t>
  </si>
  <si>
    <t>INS</t>
  </si>
  <si>
    <t>MKZ</t>
  </si>
  <si>
    <t>1./1.</t>
  </si>
  <si>
    <t>Stufenanstieg</t>
  </si>
  <si>
    <t>Gesamtpunkte WEP/KEP</t>
  </si>
  <si>
    <t>Zugewürfelte VIP</t>
  </si>
  <si>
    <t>Zugewürfelte MKZ</t>
  </si>
  <si>
    <t>AW/VW Anstieg durch gerade KEP-Stufe</t>
  </si>
  <si>
    <t>-</t>
  </si>
  <si>
    <t>Sprachen:</t>
  </si>
  <si>
    <t>© www.imdacil.de</t>
  </si>
  <si>
    <t>(© by www.imdacil.de)</t>
  </si>
  <si>
    <t>WG</t>
  </si>
  <si>
    <t>EP</t>
  </si>
  <si>
    <t>2. AW</t>
  </si>
  <si>
    <t>2. VW</t>
  </si>
  <si>
    <t>Munition</t>
  </si>
  <si>
    <t>www.imdacil.de</t>
  </si>
  <si>
    <t xml:space="preserve">Ruf des Warlock Stufentabelle </t>
  </si>
  <si>
    <t>B-KAP</t>
  </si>
  <si>
    <t>Tragla./g:</t>
  </si>
  <si>
    <t>PG</t>
  </si>
  <si>
    <t>ST</t>
  </si>
  <si>
    <t>IF</t>
  </si>
  <si>
    <t>ZT</t>
  </si>
  <si>
    <t>KF</t>
  </si>
  <si>
    <t>WEI</t>
  </si>
  <si>
    <t>TAK</t>
  </si>
  <si>
    <t>Attribut</t>
  </si>
  <si>
    <t>III. Illusionen etc.</t>
  </si>
  <si>
    <t>IV. Zauber etc.</t>
  </si>
  <si>
    <t>I. Dämpfe, Odem...</t>
  </si>
  <si>
    <t>II. Gifte, Lähmung…</t>
  </si>
  <si>
    <t>Fähigkeiten:</t>
  </si>
  <si>
    <t>Charakterspezifische Fähigkeiten:</t>
  </si>
  <si>
    <t>-BKAP</t>
  </si>
  <si>
    <t>RÜSTUNG:</t>
  </si>
  <si>
    <t>VW-Modifikator</t>
  </si>
  <si>
    <t>Typ/Nr.</t>
  </si>
  <si>
    <t>WAFFEN (FK):</t>
  </si>
  <si>
    <t>WAFFEN (NK):</t>
  </si>
  <si>
    <t>erf. KK</t>
  </si>
  <si>
    <t>1W+…</t>
  </si>
  <si>
    <t>Titel:</t>
  </si>
  <si>
    <t>Haare:</t>
  </si>
  <si>
    <t>Augen:</t>
  </si>
  <si>
    <t>A/B*</t>
  </si>
  <si>
    <t>*Ausweichen/Blocken</t>
  </si>
  <si>
    <t>Resistenzzahlen:</t>
  </si>
  <si>
    <t>1 TB = 2 TS = 10 TG</t>
  </si>
  <si>
    <t>&lt;-- Restpunkte</t>
  </si>
  <si>
    <t>Erzählkunst/Sprachgewandtheit</t>
  </si>
  <si>
    <t>Grundwert</t>
  </si>
  <si>
    <t>Berufsboni</t>
  </si>
  <si>
    <t>FP-Boni</t>
  </si>
  <si>
    <t>aktueller Wert</t>
  </si>
  <si>
    <t>Attribustsboni</t>
  </si>
  <si>
    <r>
      <t>Ruf des Warlock</t>
    </r>
    <r>
      <rPr>
        <b/>
        <sz val="16"/>
        <rFont val="Times New Roman"/>
        <family val="1"/>
      </rPr>
      <t xml:space="preserve"> - Die Fertigkeiten</t>
    </r>
  </si>
  <si>
    <t>Übersteigerung</t>
  </si>
  <si>
    <t>Kampf m. Schuss- und Wurfwaffen</t>
  </si>
  <si>
    <t>Geschmack/Geruch identifizieren</t>
  </si>
  <si>
    <t>Barren (TB):</t>
  </si>
  <si>
    <t>Schekel (TS):</t>
  </si>
  <si>
    <t>Gulden (TG):</t>
  </si>
  <si>
    <t xml:space="preserve"> </t>
  </si>
  <si>
    <t>0*</t>
  </si>
  <si>
    <t>Keine Waffe</t>
  </si>
  <si>
    <t>Waffen-Gattungen</t>
  </si>
  <si>
    <t>IW</t>
  </si>
  <si>
    <t>HKW</t>
  </si>
  <si>
    <t>SW = 3</t>
  </si>
  <si>
    <t>SW = 18</t>
  </si>
  <si>
    <t>Nebenwaffe 1</t>
  </si>
  <si>
    <t>S = 4</t>
  </si>
  <si>
    <t>S = 15</t>
  </si>
  <si>
    <t>NW 2</t>
  </si>
  <si>
    <t>LSK = 5</t>
  </si>
  <si>
    <t>LSK = 12</t>
  </si>
  <si>
    <t>NW 3</t>
  </si>
  <si>
    <t>SSK = 6</t>
  </si>
  <si>
    <t>NW 4</t>
  </si>
  <si>
    <t>ZH = 7</t>
  </si>
  <si>
    <t>ZH = 9</t>
  </si>
  <si>
    <t>NW 5</t>
  </si>
  <si>
    <t>STG = 8</t>
  </si>
  <si>
    <t>STG = 3</t>
  </si>
  <si>
    <r>
      <t>Achtung:</t>
    </r>
    <r>
      <rPr>
        <sz val="10"/>
        <rFont val="Arial"/>
        <family val="2"/>
      </rPr>
      <t xml:space="preserve"> Keine Waffe im Slot  = 2</t>
    </r>
  </si>
  <si>
    <t>Wichtige Formeln zum erstellen eines (Standard-)Charakters:</t>
  </si>
  <si>
    <t>Ausgangswerte und charakterspezifische Boni</t>
  </si>
  <si>
    <t>IW-Bonus</t>
  </si>
  <si>
    <t>INS-Bonus</t>
  </si>
  <si>
    <t>ST-Bonus</t>
  </si>
  <si>
    <t>KF-Bonus</t>
  </si>
  <si>
    <t>BE-Bonus</t>
  </si>
  <si>
    <t>ZP-Bonus</t>
  </si>
  <si>
    <t>Nahkampf</t>
  </si>
  <si>
    <t>Fernkampf</t>
  </si>
  <si>
    <t>Geb.Dat.:</t>
  </si>
  <si>
    <t>Waffengew.*</t>
  </si>
  <si>
    <t>* Angabe des Waffengewichtes in gr</t>
  </si>
  <si>
    <t>Waffengewichtsregel:</t>
  </si>
  <si>
    <t>Charakterbogen für Barbaren</t>
  </si>
  <si>
    <t>BARBAR</t>
  </si>
  <si>
    <t>Keine Waffenbeschränkung; "Barbarengebrüll"</t>
  </si>
  <si>
    <t>Zuschlag +4 BSP / +2 KKB im Nahkampf; hat sog.</t>
  </si>
  <si>
    <t>Barbarenschlag; vor dem Kampf TAK -3; IW +3</t>
  </si>
  <si>
    <t>ST +2; INS = GE-1; hat Aufstiegsschance zum</t>
  </si>
  <si>
    <t>Akkordschlachter; KL nicht &gt; 17; trägt max. KH</t>
  </si>
  <si>
    <t>nicht mehr als einfaches Volk; keine magischen</t>
  </si>
  <si>
    <t>Gegenstände, bis TAK / WEI = 28</t>
  </si>
  <si>
    <t>Zunderkästchen (je 20)</t>
  </si>
  <si>
    <t>Zwirn (20 m)</t>
  </si>
  <si>
    <t>Strick (10 m)</t>
  </si>
  <si>
    <t>Fackeln (je 4 h)</t>
  </si>
  <si>
    <t>Kompass</t>
  </si>
  <si>
    <t>Iavera Artor</t>
  </si>
  <si>
    <t>Dunkelblau</t>
  </si>
  <si>
    <t>Rot</t>
  </si>
  <si>
    <t>Wattierte Kleidung</t>
  </si>
  <si>
    <t>WK</t>
  </si>
  <si>
    <t>Kurzschwert</t>
  </si>
  <si>
    <t>Unterwäsche</t>
  </si>
  <si>
    <t>Knöchelhohe Lederschuhe</t>
  </si>
  <si>
    <t>Lederrucksack</t>
  </si>
  <si>
    <t>Einfacher Waffengürtel</t>
  </si>
  <si>
    <t>Einfache Schwertscheide (Leder)</t>
  </si>
  <si>
    <t>Wasserschlauch (Leder, 1 Liter )</t>
  </si>
  <si>
    <t>2* Räucherfleisch</t>
  </si>
  <si>
    <t>3*Räucherschinken</t>
  </si>
  <si>
    <t>Tak vor kampf um 1 erleichtert</t>
  </si>
  <si>
    <t>AW und VW um 1 erhöht</t>
  </si>
  <si>
    <t>Zuschlag 4 BSP 2 KKB</t>
  </si>
  <si>
    <t>normal</t>
  </si>
  <si>
    <t>Zusatzregel</t>
  </si>
  <si>
    <t>32 Jahre</t>
  </si>
  <si>
    <t>210 cm</t>
  </si>
  <si>
    <t>99 kg</t>
  </si>
  <si>
    <t>einfaches Volk</t>
  </si>
  <si>
    <t>902</t>
  </si>
  <si>
    <t>250/750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</si>
</sst>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0000"/>
    <numFmt numFmtId="173" formatCode="&quot;Ja&quot;;&quot;Ja&quot;;&quot;Nein&quot;"/>
    <numFmt numFmtId="174" formatCode="&quot;Wahr&quot;;&quot;Wahr&quot;;&quot;Falsch&quot;"/>
    <numFmt numFmtId="175" formatCode="&quot;Ein&quot;;&quot;Ein&quot;;&quot;Aus&quot;"/>
    <numFmt numFmtId="176" formatCode="0.000"/>
    <numFmt numFmtId="177" formatCode="0.0"/>
    <numFmt numFmtId="178" formatCode="#,##0.0"/>
    <numFmt numFmtId="179" formatCode="[$€-2]\ #,##0.00_);[Red]\([$€-2]\ #,##0.00\)"/>
    <numFmt numFmtId="180" formatCode="[$-407]dddd\,\ d\.\ mmmm\ yyyy"/>
  </numFmts>
  <fonts count="64">
    <font>
      <sz val="12"/>
      <name val="Times New Roman"/>
      <family val="0"/>
    </font>
    <font>
      <sz val="11"/>
      <name val="Times New Roman"/>
      <family val="1"/>
    </font>
    <font>
      <sz val="10"/>
      <name val="Times New Roman"/>
      <family val="1"/>
    </font>
    <font>
      <b/>
      <u val="single"/>
      <sz val="20"/>
      <name val="Times New Roman"/>
      <family val="1"/>
    </font>
    <font>
      <sz val="20"/>
      <name val="Times New Roman"/>
      <family val="1"/>
    </font>
    <font>
      <b/>
      <u val="single"/>
      <sz val="16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u val="single"/>
      <sz val="12"/>
      <color indexed="12"/>
      <name val="Times New Roman"/>
      <family val="1"/>
    </font>
    <font>
      <sz val="10"/>
      <name val="Arial"/>
      <family val="2"/>
    </font>
    <font>
      <sz val="10"/>
      <color indexed="12"/>
      <name val="Times New Roman"/>
      <family val="1"/>
    </font>
    <font>
      <u val="single"/>
      <sz val="12"/>
      <color indexed="36"/>
      <name val="Times New Roman"/>
      <family val="1"/>
    </font>
    <font>
      <b/>
      <sz val="14"/>
      <name val="Times New Roman"/>
      <family val="1"/>
    </font>
    <font>
      <sz val="10"/>
      <name val="Symbol"/>
      <family val="1"/>
    </font>
    <font>
      <b/>
      <u val="single"/>
      <sz val="12"/>
      <name val="Times New Roman"/>
      <family val="1"/>
    </font>
    <font>
      <i/>
      <sz val="10"/>
      <name val="Times New Roman"/>
      <family val="1"/>
    </font>
    <font>
      <u val="single"/>
      <sz val="10"/>
      <color indexed="12"/>
      <name val="Times New Roman"/>
      <family val="1"/>
    </font>
    <font>
      <b/>
      <sz val="24"/>
      <name val="Caligula"/>
      <family val="0"/>
    </font>
    <font>
      <sz val="12"/>
      <name val="Caligula"/>
      <family val="0"/>
    </font>
    <font>
      <b/>
      <sz val="12"/>
      <name val="Times New Roman"/>
      <family val="1"/>
    </font>
    <font>
      <sz val="7"/>
      <name val="Times New Roman"/>
      <family val="1"/>
    </font>
    <font>
      <b/>
      <i/>
      <sz val="10"/>
      <name val="Times New Roman"/>
      <family val="1"/>
    </font>
    <font>
      <b/>
      <sz val="16"/>
      <name val="Times New Roman"/>
      <family val="1"/>
    </font>
    <font>
      <i/>
      <sz val="9"/>
      <name val="Times New Roman"/>
      <family val="1"/>
    </font>
    <font>
      <i/>
      <sz val="10"/>
      <name val="Arial"/>
      <family val="2"/>
    </font>
    <font>
      <b/>
      <sz val="10"/>
      <name val="Arial"/>
      <family val="2"/>
    </font>
    <font>
      <b/>
      <sz val="8"/>
      <name val="Times New Roman"/>
      <family val="1"/>
    </font>
    <font>
      <sz val="10"/>
      <color indexed="9"/>
      <name val="Times New Roman"/>
      <family val="1"/>
    </font>
    <font>
      <sz val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sz val="10"/>
      <color theme="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55"/>
        <bgColor indexed="64"/>
      </patternFill>
    </fill>
  </fills>
  <borders count="1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double"/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medium"/>
      <right>
        <color indexed="63"/>
      </right>
      <top style="double"/>
      <bottom style="medium"/>
    </border>
    <border>
      <left style="thin"/>
      <right style="thin"/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double"/>
    </border>
    <border>
      <left style="medium"/>
      <right style="thin"/>
      <top style="medium"/>
      <bottom style="double"/>
    </border>
    <border>
      <left style="medium"/>
      <right style="thin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double"/>
      <bottom style="thin"/>
    </border>
    <border>
      <left style="double"/>
      <right style="thin"/>
      <top style="thin"/>
      <bottom style="double"/>
    </border>
    <border>
      <left>
        <color indexed="63"/>
      </left>
      <right style="thin"/>
      <top style="medium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6" borderId="2" applyNumberFormat="0" applyAlignment="0" applyProtection="0"/>
    <xf numFmtId="0" fontId="11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50" fillId="27" borderId="2" applyNumberFormat="0" applyAlignment="0" applyProtection="0"/>
    <xf numFmtId="0" fontId="51" fillId="0" borderId="3" applyNumberFormat="0" applyFill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0" fontId="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5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32" borderId="9" applyNumberFormat="0" applyAlignment="0" applyProtection="0"/>
  </cellStyleXfs>
  <cellXfs count="69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right"/>
    </xf>
    <xf numFmtId="0" fontId="6" fillId="0" borderId="0" xfId="0" applyFont="1" applyFill="1" applyBorder="1" applyAlignment="1">
      <alignment horizontal="center"/>
    </xf>
    <xf numFmtId="3" fontId="6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9" fillId="0" borderId="0" xfId="55">
      <alignment/>
      <protection/>
    </xf>
    <xf numFmtId="0" fontId="9" fillId="0" borderId="0" xfId="55" applyBorder="1">
      <alignment/>
      <protection/>
    </xf>
    <xf numFmtId="0" fontId="2" fillId="0" borderId="0" xfId="0" applyFont="1" applyBorder="1" applyAlignment="1">
      <alignment/>
    </xf>
    <xf numFmtId="3" fontId="2" fillId="0" borderId="0" xfId="0" applyNumberFormat="1" applyFont="1" applyFill="1" applyBorder="1" applyAlignment="1">
      <alignment horizontal="center"/>
    </xf>
    <xf numFmtId="0" fontId="4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9" fontId="2" fillId="0" borderId="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0" fillId="0" borderId="0" xfId="0" applyAlignment="1" applyProtection="1">
      <alignment/>
      <protection locked="0"/>
    </xf>
    <xf numFmtId="0" fontId="2" fillId="0" borderId="10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6" fillId="0" borderId="12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0" fontId="6" fillId="0" borderId="13" xfId="0" applyFont="1" applyBorder="1" applyAlignment="1" applyProtection="1">
      <alignment horizontal="center"/>
      <protection locked="0"/>
    </xf>
    <xf numFmtId="0" fontId="6" fillId="0" borderId="14" xfId="0" applyFont="1" applyBorder="1" applyAlignment="1" applyProtection="1">
      <alignment horizontal="center"/>
      <protection locked="0"/>
    </xf>
    <xf numFmtId="0" fontId="6" fillId="0" borderId="15" xfId="0" applyFont="1" applyBorder="1" applyAlignment="1" applyProtection="1">
      <alignment horizontal="center"/>
      <protection locked="0"/>
    </xf>
    <xf numFmtId="0" fontId="6" fillId="0" borderId="16" xfId="0" applyFont="1" applyBorder="1" applyAlignment="1" applyProtection="1">
      <alignment horizontal="center"/>
      <protection locked="0"/>
    </xf>
    <xf numFmtId="0" fontId="6" fillId="0" borderId="17" xfId="0" applyFont="1" applyBorder="1" applyAlignment="1" applyProtection="1">
      <alignment horizontal="center"/>
      <protection locked="0"/>
    </xf>
    <xf numFmtId="0" fontId="6" fillId="0" borderId="18" xfId="0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2" fillId="0" borderId="19" xfId="0" applyFont="1" applyBorder="1" applyAlignment="1" applyProtection="1">
      <alignment/>
      <protection locked="0"/>
    </xf>
    <xf numFmtId="0" fontId="2" fillId="0" borderId="20" xfId="0" applyFont="1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0" fontId="2" fillId="0" borderId="21" xfId="0" applyFont="1" applyBorder="1" applyAlignment="1" applyProtection="1">
      <alignment/>
      <protection locked="0"/>
    </xf>
    <xf numFmtId="0" fontId="2" fillId="0" borderId="21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Border="1" applyAlignment="1" applyProtection="1">
      <alignment horizontal="right"/>
      <protection locked="0"/>
    </xf>
    <xf numFmtId="0" fontId="2" fillId="0" borderId="11" xfId="0" applyFont="1" applyBorder="1" applyAlignment="1" applyProtection="1">
      <alignment/>
      <protection locked="0"/>
    </xf>
    <xf numFmtId="0" fontId="7" fillId="0" borderId="0" xfId="0" applyFont="1" applyBorder="1" applyAlignment="1" applyProtection="1">
      <alignment horizontal="right"/>
      <protection locked="0"/>
    </xf>
    <xf numFmtId="0" fontId="2" fillId="33" borderId="12" xfId="0" applyFont="1" applyFill="1" applyBorder="1" applyAlignment="1" applyProtection="1">
      <alignment horizontal="center"/>
      <protection locked="0"/>
    </xf>
    <xf numFmtId="49" fontId="2" fillId="0" borderId="22" xfId="0" applyNumberFormat="1" applyFont="1" applyBorder="1" applyAlignment="1" applyProtection="1">
      <alignment vertical="justify"/>
      <protection locked="0"/>
    </xf>
    <xf numFmtId="49" fontId="2" fillId="0" borderId="0" xfId="0" applyNumberFormat="1" applyFont="1" applyBorder="1" applyAlignment="1" applyProtection="1">
      <alignment vertical="justify"/>
      <protection locked="0"/>
    </xf>
    <xf numFmtId="0" fontId="2" fillId="0" borderId="23" xfId="0" applyFont="1" applyBorder="1" applyAlignment="1" applyProtection="1">
      <alignment/>
      <protection locked="0"/>
    </xf>
    <xf numFmtId="0" fontId="1" fillId="0" borderId="10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0" fontId="1" fillId="0" borderId="11" xfId="0" applyFont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9" fillId="0" borderId="24" xfId="55" applyBorder="1" applyProtection="1">
      <alignment/>
      <protection locked="0"/>
    </xf>
    <xf numFmtId="0" fontId="9" fillId="0" borderId="25" xfId="55" applyBorder="1" applyProtection="1">
      <alignment/>
      <protection locked="0"/>
    </xf>
    <xf numFmtId="0" fontId="9" fillId="0" borderId="26" xfId="55" applyBorder="1" applyProtection="1">
      <alignment/>
      <protection locked="0"/>
    </xf>
    <xf numFmtId="0" fontId="9" fillId="0" borderId="10" xfId="55" applyBorder="1" applyProtection="1">
      <alignment/>
      <protection locked="0"/>
    </xf>
    <xf numFmtId="0" fontId="9" fillId="0" borderId="0" xfId="55" applyBorder="1" applyProtection="1">
      <alignment/>
      <protection locked="0"/>
    </xf>
    <xf numFmtId="0" fontId="9" fillId="0" borderId="11" xfId="55" applyBorder="1" applyProtection="1">
      <alignment/>
      <protection locked="0"/>
    </xf>
    <xf numFmtId="0" fontId="9" fillId="0" borderId="0" xfId="55" applyBorder="1" applyAlignment="1" applyProtection="1">
      <alignment horizontal="center"/>
      <protection locked="0"/>
    </xf>
    <xf numFmtId="0" fontId="9" fillId="34" borderId="13" xfId="55" applyFill="1" applyBorder="1" applyAlignment="1" applyProtection="1">
      <alignment horizontal="right"/>
      <protection locked="0"/>
    </xf>
    <xf numFmtId="0" fontId="9" fillId="34" borderId="15" xfId="55" applyFill="1" applyBorder="1" applyAlignment="1" applyProtection="1">
      <alignment horizontal="right"/>
      <protection locked="0"/>
    </xf>
    <xf numFmtId="0" fontId="9" fillId="34" borderId="17" xfId="55" applyFont="1" applyFill="1" applyBorder="1" applyAlignment="1" applyProtection="1">
      <alignment horizontal="right"/>
      <protection locked="0"/>
    </xf>
    <xf numFmtId="0" fontId="9" fillId="0" borderId="0" xfId="55" applyFill="1" applyBorder="1" applyAlignment="1" applyProtection="1">
      <alignment horizontal="right"/>
      <protection locked="0"/>
    </xf>
    <xf numFmtId="0" fontId="9" fillId="0" borderId="19" xfId="55" applyBorder="1" applyProtection="1">
      <alignment/>
      <protection locked="0"/>
    </xf>
    <xf numFmtId="0" fontId="9" fillId="0" borderId="21" xfId="55" applyBorder="1" applyProtection="1">
      <alignment/>
      <protection locked="0"/>
    </xf>
    <xf numFmtId="0" fontId="9" fillId="0" borderId="23" xfId="55" applyBorder="1" applyProtection="1">
      <alignment/>
      <protection locked="0"/>
    </xf>
    <xf numFmtId="0" fontId="2" fillId="0" borderId="0" xfId="56" applyFont="1" applyBorder="1">
      <alignment/>
      <protection/>
    </xf>
    <xf numFmtId="0" fontId="2" fillId="0" borderId="0" xfId="56" applyFont="1">
      <alignment/>
      <protection/>
    </xf>
    <xf numFmtId="0" fontId="12" fillId="0" borderId="0" xfId="56" applyFont="1" applyFill="1" applyBorder="1" applyAlignment="1">
      <alignment horizontal="center"/>
      <protection/>
    </xf>
    <xf numFmtId="0" fontId="6" fillId="0" borderId="0" xfId="56" applyFont="1" applyFill="1" applyBorder="1" applyAlignment="1">
      <alignment horizontal="center"/>
      <protection/>
    </xf>
    <xf numFmtId="0" fontId="2" fillId="0" borderId="0" xfId="56" applyFont="1" applyFill="1" applyBorder="1" applyAlignment="1">
      <alignment horizontal="center"/>
      <protection/>
    </xf>
    <xf numFmtId="0" fontId="2" fillId="0" borderId="0" xfId="56" applyFont="1" applyAlignment="1">
      <alignment horizontal="center"/>
      <protection/>
    </xf>
    <xf numFmtId="0" fontId="7" fillId="0" borderId="27" xfId="56" applyFont="1" applyFill="1" applyBorder="1" applyAlignment="1">
      <alignment horizontal="left"/>
      <protection/>
    </xf>
    <xf numFmtId="0" fontId="2" fillId="0" borderId="27" xfId="56" applyFont="1" applyFill="1" applyBorder="1" applyAlignment="1">
      <alignment horizontal="center"/>
      <protection/>
    </xf>
    <xf numFmtId="0" fontId="13" fillId="0" borderId="0" xfId="56" applyFont="1" applyFill="1" applyBorder="1" applyAlignment="1">
      <alignment horizontal="center"/>
      <protection/>
    </xf>
    <xf numFmtId="0" fontId="2" fillId="0" borderId="0" xfId="56" applyFont="1" applyFill="1" applyBorder="1">
      <alignment/>
      <protection/>
    </xf>
    <xf numFmtId="0" fontId="15" fillId="0" borderId="28" xfId="56" applyFont="1" applyFill="1" applyBorder="1" applyAlignment="1">
      <alignment horizontal="center"/>
      <protection/>
    </xf>
    <xf numFmtId="0" fontId="2" fillId="0" borderId="21" xfId="56" applyFont="1" applyFill="1" applyBorder="1" applyAlignment="1">
      <alignment horizontal="center"/>
      <protection/>
    </xf>
    <xf numFmtId="0" fontId="15" fillId="0" borderId="29" xfId="56" applyFont="1" applyFill="1" applyBorder="1" applyAlignment="1">
      <alignment horizontal="center"/>
      <protection/>
    </xf>
    <xf numFmtId="49" fontId="7" fillId="0" borderId="0" xfId="56" applyNumberFormat="1" applyFont="1" applyFill="1" applyBorder="1" applyAlignment="1">
      <alignment/>
      <protection/>
    </xf>
    <xf numFmtId="49" fontId="6" fillId="0" borderId="0" xfId="56" applyNumberFormat="1" applyFont="1" applyFill="1" applyBorder="1" applyAlignment="1">
      <alignment/>
      <protection/>
    </xf>
    <xf numFmtId="49" fontId="6" fillId="0" borderId="0" xfId="56" applyNumberFormat="1" applyFont="1" applyFill="1" applyBorder="1" applyAlignment="1">
      <alignment horizontal="center"/>
      <protection/>
    </xf>
    <xf numFmtId="0" fontId="9" fillId="0" borderId="0" xfId="56" applyBorder="1">
      <alignment/>
      <protection/>
    </xf>
    <xf numFmtId="0" fontId="9" fillId="0" borderId="0" xfId="56">
      <alignment/>
      <protection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30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34" borderId="14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0" fontId="2" fillId="34" borderId="32" xfId="0" applyFont="1" applyFill="1" applyBorder="1" applyAlignment="1">
      <alignment horizontal="center"/>
    </xf>
    <xf numFmtId="3" fontId="2" fillId="0" borderId="15" xfId="0" applyNumberFormat="1" applyFont="1" applyBorder="1" applyAlignment="1">
      <alignment horizontal="center"/>
    </xf>
    <xf numFmtId="0" fontId="2" fillId="34" borderId="16" xfId="0" applyFont="1" applyFill="1" applyBorder="1" applyAlignment="1">
      <alignment horizontal="center"/>
    </xf>
    <xf numFmtId="3" fontId="2" fillId="0" borderId="15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3" fontId="2" fillId="0" borderId="17" xfId="0" applyNumberFormat="1" applyFont="1" applyFill="1" applyBorder="1" applyAlignment="1">
      <alignment horizontal="center"/>
    </xf>
    <xf numFmtId="0" fontId="2" fillId="34" borderId="18" xfId="0" applyFont="1" applyFill="1" applyBorder="1" applyAlignment="1">
      <alignment horizontal="center"/>
    </xf>
    <xf numFmtId="0" fontId="9" fillId="34" borderId="15" xfId="55" applyFont="1" applyFill="1" applyBorder="1" applyAlignment="1" applyProtection="1">
      <alignment horizontal="right"/>
      <protection locked="0"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5" xfId="0" applyFont="1" applyBorder="1" applyAlignment="1">
      <alignment horizontal="right"/>
    </xf>
    <xf numFmtId="0" fontId="2" fillId="0" borderId="26" xfId="0" applyFont="1" applyBorder="1" applyAlignment="1">
      <alignment/>
    </xf>
    <xf numFmtId="0" fontId="2" fillId="0" borderId="0" xfId="0" applyFont="1" applyBorder="1" applyAlignment="1" applyProtection="1">
      <alignment horizontal="left"/>
      <protection locked="0"/>
    </xf>
    <xf numFmtId="0" fontId="2" fillId="0" borderId="19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23" xfId="0" applyFont="1" applyBorder="1" applyAlignment="1">
      <alignment/>
    </xf>
    <xf numFmtId="0" fontId="2" fillId="0" borderId="24" xfId="56" applyFont="1" applyBorder="1">
      <alignment/>
      <protection/>
    </xf>
    <xf numFmtId="0" fontId="2" fillId="0" borderId="25" xfId="56" applyFont="1" applyBorder="1">
      <alignment/>
      <protection/>
    </xf>
    <xf numFmtId="0" fontId="2" fillId="0" borderId="26" xfId="56" applyFont="1" applyBorder="1">
      <alignment/>
      <protection/>
    </xf>
    <xf numFmtId="0" fontId="2" fillId="0" borderId="10" xfId="56" applyFont="1" applyBorder="1">
      <alignment/>
      <protection/>
    </xf>
    <xf numFmtId="0" fontId="6" fillId="0" borderId="11" xfId="56" applyFont="1" applyFill="1" applyBorder="1" applyAlignment="1">
      <alignment horizontal="center"/>
      <protection/>
    </xf>
    <xf numFmtId="0" fontId="2" fillId="0" borderId="10" xfId="56" applyFont="1" applyBorder="1" applyAlignment="1">
      <alignment horizontal="center"/>
      <protection/>
    </xf>
    <xf numFmtId="0" fontId="2" fillId="0" borderId="11" xfId="56" applyFont="1" applyFill="1" applyBorder="1" applyAlignment="1">
      <alignment horizontal="center"/>
      <protection/>
    </xf>
    <xf numFmtId="0" fontId="13" fillId="0" borderId="11" xfId="56" applyFont="1" applyFill="1" applyBorder="1" applyAlignment="1">
      <alignment horizontal="center"/>
      <protection/>
    </xf>
    <xf numFmtId="0" fontId="2" fillId="0" borderId="11" xfId="56" applyFont="1" applyFill="1" applyBorder="1">
      <alignment/>
      <protection/>
    </xf>
    <xf numFmtId="49" fontId="7" fillId="0" borderId="11" xfId="56" applyNumberFormat="1" applyFont="1" applyFill="1" applyBorder="1" applyAlignment="1">
      <alignment/>
      <protection/>
    </xf>
    <xf numFmtId="49" fontId="6" fillId="0" borderId="11" xfId="56" applyNumberFormat="1" applyFont="1" applyFill="1" applyBorder="1" applyAlignment="1">
      <alignment/>
      <protection/>
    </xf>
    <xf numFmtId="49" fontId="6" fillId="0" borderId="11" xfId="56" applyNumberFormat="1" applyFont="1" applyFill="1" applyBorder="1" applyAlignment="1">
      <alignment horizontal="center"/>
      <protection/>
    </xf>
    <xf numFmtId="0" fontId="9" fillId="0" borderId="19" xfId="56" applyBorder="1">
      <alignment/>
      <protection/>
    </xf>
    <xf numFmtId="0" fontId="9" fillId="0" borderId="23" xfId="56" applyBorder="1">
      <alignment/>
      <protection/>
    </xf>
    <xf numFmtId="0" fontId="9" fillId="0" borderId="10" xfId="56" applyBorder="1">
      <alignment/>
      <protection/>
    </xf>
    <xf numFmtId="0" fontId="9" fillId="0" borderId="11" xfId="56" applyBorder="1">
      <alignment/>
      <protection/>
    </xf>
    <xf numFmtId="0" fontId="16" fillId="0" borderId="21" xfId="47" applyFont="1" applyBorder="1" applyAlignment="1" applyProtection="1">
      <alignment horizontal="center"/>
      <protection/>
    </xf>
    <xf numFmtId="0" fontId="9" fillId="0" borderId="21" xfId="56" applyFont="1" applyBorder="1" applyAlignment="1">
      <alignment horizontal="center"/>
      <protection/>
    </xf>
    <xf numFmtId="0" fontId="19" fillId="0" borderId="0" xfId="0" applyFont="1" applyBorder="1" applyAlignment="1">
      <alignment vertical="center"/>
    </xf>
    <xf numFmtId="0" fontId="2" fillId="33" borderId="33" xfId="0" applyFont="1" applyFill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33" borderId="34" xfId="0" applyFont="1" applyFill="1" applyBorder="1" applyAlignment="1" applyProtection="1">
      <alignment horizontal="center" vertical="justify"/>
      <protection locked="0"/>
    </xf>
    <xf numFmtId="0" fontId="2" fillId="33" borderId="35" xfId="0" applyFont="1" applyFill="1" applyBorder="1" applyAlignment="1" applyProtection="1">
      <alignment horizontal="center" vertical="justify"/>
      <protection locked="0"/>
    </xf>
    <xf numFmtId="0" fontId="2" fillId="0" borderId="36" xfId="0" applyFont="1" applyBorder="1" applyAlignment="1" applyProtection="1">
      <alignment horizontal="left" vertical="center"/>
      <protection locked="0"/>
    </xf>
    <xf numFmtId="1" fontId="2" fillId="0" borderId="37" xfId="0" applyNumberFormat="1" applyFont="1" applyBorder="1" applyAlignment="1" applyProtection="1">
      <alignment horizontal="center" vertical="center"/>
      <protection locked="0"/>
    </xf>
    <xf numFmtId="1" fontId="2" fillId="0" borderId="38" xfId="0" applyNumberFormat="1" applyFont="1" applyBorder="1" applyAlignment="1" applyProtection="1">
      <alignment horizontal="center" vertical="center"/>
      <protection locked="0"/>
    </xf>
    <xf numFmtId="1" fontId="2" fillId="0" borderId="39" xfId="0" applyNumberFormat="1" applyFont="1" applyBorder="1" applyAlignment="1" applyProtection="1">
      <alignment horizontal="center" vertical="center"/>
      <protection locked="0"/>
    </xf>
    <xf numFmtId="1" fontId="2" fillId="0" borderId="40" xfId="0" applyNumberFormat="1" applyFont="1" applyBorder="1" applyAlignment="1" applyProtection="1">
      <alignment horizontal="center" vertical="center"/>
      <protection locked="0"/>
    </xf>
    <xf numFmtId="0" fontId="2" fillId="0" borderId="38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33" borderId="41" xfId="0" applyFont="1" applyFill="1" applyBorder="1" applyAlignment="1" applyProtection="1">
      <alignment vertical="center"/>
      <protection locked="0"/>
    </xf>
    <xf numFmtId="0" fontId="2" fillId="0" borderId="42" xfId="0" applyFont="1" applyBorder="1" applyAlignment="1" applyProtection="1">
      <alignment horizontal="center" vertical="center"/>
      <protection locked="0"/>
    </xf>
    <xf numFmtId="0" fontId="2" fillId="34" borderId="43" xfId="0" applyFont="1" applyFill="1" applyBorder="1" applyAlignment="1" applyProtection="1">
      <alignment vertical="center"/>
      <protection locked="0"/>
    </xf>
    <xf numFmtId="0" fontId="2" fillId="0" borderId="41" xfId="0" applyFont="1" applyBorder="1" applyAlignment="1" applyProtection="1">
      <alignment horizontal="center" vertical="center"/>
      <protection locked="0"/>
    </xf>
    <xf numFmtId="0" fontId="2" fillId="33" borderId="36" xfId="0" applyFont="1" applyFill="1" applyBorder="1" applyAlignment="1" applyProtection="1">
      <alignment horizontal="left" vertical="center"/>
      <protection locked="0"/>
    </xf>
    <xf numFmtId="0" fontId="2" fillId="0" borderId="38" xfId="0" applyFont="1" applyBorder="1" applyAlignment="1" applyProtection="1">
      <alignment horizontal="center" vertical="center"/>
      <protection locked="0"/>
    </xf>
    <xf numFmtId="0" fontId="2" fillId="34" borderId="22" xfId="0" applyFont="1" applyFill="1" applyBorder="1" applyAlignment="1" applyProtection="1">
      <alignment vertical="center"/>
      <protection locked="0"/>
    </xf>
    <xf numFmtId="0" fontId="2" fillId="0" borderId="36" xfId="0" applyFont="1" applyBorder="1" applyAlignment="1" applyProtection="1">
      <alignment horizontal="center" vertical="center"/>
      <protection locked="0"/>
    </xf>
    <xf numFmtId="0" fontId="2" fillId="34" borderId="36" xfId="0" applyFont="1" applyFill="1" applyBorder="1" applyAlignment="1" applyProtection="1">
      <alignment horizontal="left" vertical="center"/>
      <protection locked="0"/>
    </xf>
    <xf numFmtId="0" fontId="2" fillId="0" borderId="37" xfId="0" applyFont="1" applyBorder="1" applyAlignment="1">
      <alignment horizontal="center" vertical="center"/>
    </xf>
    <xf numFmtId="0" fontId="2" fillId="0" borderId="44" xfId="0" applyFont="1" applyBorder="1" applyAlignment="1" applyProtection="1">
      <alignment horizontal="left" vertical="center"/>
      <protection locked="0"/>
    </xf>
    <xf numFmtId="0" fontId="2" fillId="0" borderId="45" xfId="0" applyFont="1" applyBorder="1" applyAlignment="1" applyProtection="1">
      <alignment horizontal="center" vertical="center"/>
      <protection locked="0"/>
    </xf>
    <xf numFmtId="0" fontId="2" fillId="34" borderId="46" xfId="0" applyFont="1" applyFill="1" applyBorder="1" applyAlignment="1" applyProtection="1">
      <alignment vertical="center"/>
      <protection locked="0"/>
    </xf>
    <xf numFmtId="0" fontId="2" fillId="0" borderId="47" xfId="0" applyFont="1" applyBorder="1" applyAlignment="1" applyProtection="1">
      <alignment horizontal="center" vertical="center"/>
      <protection locked="0"/>
    </xf>
    <xf numFmtId="0" fontId="2" fillId="0" borderId="40" xfId="0" applyFont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>
      <alignment vertical="center"/>
    </xf>
    <xf numFmtId="0" fontId="2" fillId="0" borderId="48" xfId="0" applyFont="1" applyFill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" fillId="33" borderId="49" xfId="0" applyFont="1" applyFill="1" applyBorder="1" applyAlignment="1" applyProtection="1">
      <alignment horizontal="center" vertical="center"/>
      <protection locked="0"/>
    </xf>
    <xf numFmtId="0" fontId="2" fillId="33" borderId="12" xfId="0" applyFont="1" applyFill="1" applyBorder="1" applyAlignment="1" applyProtection="1">
      <alignment horizontal="center" vertical="center"/>
      <protection locked="0"/>
    </xf>
    <xf numFmtId="0" fontId="2" fillId="33" borderId="33" xfId="0" applyFont="1" applyFill="1" applyBorder="1" applyAlignment="1" applyProtection="1">
      <alignment horizontal="center" vertical="center"/>
      <protection locked="0"/>
    </xf>
    <xf numFmtId="0" fontId="2" fillId="33" borderId="41" xfId="0" applyFont="1" applyFill="1" applyBorder="1" applyAlignment="1" applyProtection="1">
      <alignment horizontal="center" vertical="center"/>
      <protection locked="0"/>
    </xf>
    <xf numFmtId="0" fontId="2" fillId="33" borderId="42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50" xfId="0" applyFont="1" applyFill="1" applyBorder="1" applyAlignment="1" applyProtection="1">
      <alignment vertical="center"/>
      <protection locked="0"/>
    </xf>
    <xf numFmtId="0" fontId="2" fillId="0" borderId="51" xfId="0" applyFont="1" applyBorder="1" applyAlignment="1">
      <alignment vertical="center"/>
    </xf>
    <xf numFmtId="0" fontId="2" fillId="0" borderId="52" xfId="0" applyFont="1" applyBorder="1" applyAlignment="1">
      <alignment vertical="center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10" fillId="0" borderId="32" xfId="0" applyFont="1" applyBorder="1" applyAlignment="1" applyProtection="1">
      <alignment horizontal="center" vertical="center"/>
      <protection locked="0"/>
    </xf>
    <xf numFmtId="0" fontId="2" fillId="0" borderId="53" xfId="0" applyFont="1" applyFill="1" applyBorder="1" applyAlignment="1" applyProtection="1">
      <alignment vertical="center"/>
      <protection locked="0"/>
    </xf>
    <xf numFmtId="0" fontId="2" fillId="0" borderId="0" xfId="0" applyFont="1" applyBorder="1" applyAlignment="1">
      <alignment vertical="center"/>
    </xf>
    <xf numFmtId="0" fontId="2" fillId="0" borderId="54" xfId="0" applyFont="1" applyBorder="1" applyAlignment="1">
      <alignment vertical="center"/>
    </xf>
    <xf numFmtId="0" fontId="2" fillId="0" borderId="31" xfId="0" applyFont="1" applyBorder="1" applyAlignment="1" applyProtection="1">
      <alignment horizontal="center" vertical="center"/>
      <protection locked="0"/>
    </xf>
    <xf numFmtId="0" fontId="2" fillId="0" borderId="32" xfId="0" applyFont="1" applyBorder="1" applyAlignment="1" applyProtection="1">
      <alignment horizontal="center" vertical="center"/>
      <protection locked="0"/>
    </xf>
    <xf numFmtId="0" fontId="10" fillId="0" borderId="16" xfId="0" applyFont="1" applyBorder="1" applyAlignment="1" applyProtection="1">
      <alignment horizontal="center" vertical="center"/>
      <protection locked="0"/>
    </xf>
    <xf numFmtId="3" fontId="2" fillId="0" borderId="0" xfId="0" applyNumberFormat="1" applyFont="1" applyFill="1" applyBorder="1" applyAlignment="1" applyProtection="1">
      <alignment vertical="center"/>
      <protection locked="0"/>
    </xf>
    <xf numFmtId="3" fontId="2" fillId="0" borderId="53" xfId="0" applyNumberFormat="1" applyFont="1" applyFill="1" applyBorder="1" applyAlignment="1" applyProtection="1">
      <alignment vertical="center"/>
      <protection locked="0"/>
    </xf>
    <xf numFmtId="0" fontId="2" fillId="0" borderId="55" xfId="0" applyFont="1" applyBorder="1" applyAlignment="1" applyProtection="1">
      <alignment horizontal="center" vertical="center"/>
      <protection locked="0"/>
    </xf>
    <xf numFmtId="0" fontId="2" fillId="0" borderId="56" xfId="0" applyFont="1" applyBorder="1" applyAlignment="1" applyProtection="1">
      <alignment horizontal="center" vertical="center"/>
      <protection locked="0"/>
    </xf>
    <xf numFmtId="0" fontId="10" fillId="0" borderId="18" xfId="0" applyFont="1" applyBorder="1" applyAlignment="1" applyProtection="1">
      <alignment horizontal="center" vertical="center"/>
      <protection locked="0"/>
    </xf>
    <xf numFmtId="0" fontId="0" fillId="0" borderId="53" xfId="0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2" fillId="0" borderId="54" xfId="0" applyFont="1" applyBorder="1" applyAlignment="1" applyProtection="1">
      <alignment vertical="center"/>
      <protection locked="0"/>
    </xf>
    <xf numFmtId="0" fontId="2" fillId="0" borderId="54" xfId="0" applyFont="1" applyFill="1" applyBorder="1" applyAlignment="1" applyProtection="1">
      <alignment horizontal="center" vertical="center"/>
      <protection locked="0"/>
    </xf>
    <xf numFmtId="0" fontId="2" fillId="34" borderId="13" xfId="0" applyFont="1" applyFill="1" applyBorder="1" applyAlignment="1" applyProtection="1">
      <alignment vertical="center"/>
      <protection locked="0"/>
    </xf>
    <xf numFmtId="0" fontId="2" fillId="0" borderId="14" xfId="0" applyFont="1" applyFill="1" applyBorder="1" applyAlignment="1" applyProtection="1">
      <alignment horizontal="center" vertical="center"/>
      <protection locked="0"/>
    </xf>
    <xf numFmtId="0" fontId="2" fillId="0" borderId="53" xfId="0" applyFont="1" applyBorder="1" applyAlignment="1">
      <alignment vertical="center"/>
    </xf>
    <xf numFmtId="0" fontId="2" fillId="33" borderId="48" xfId="0" applyFont="1" applyFill="1" applyBorder="1" applyAlignment="1" applyProtection="1">
      <alignment horizontal="center" vertical="center"/>
      <protection locked="0"/>
    </xf>
    <xf numFmtId="0" fontId="2" fillId="34" borderId="15" xfId="0" applyFont="1" applyFill="1" applyBorder="1" applyAlignment="1" applyProtection="1">
      <alignment vertical="center"/>
      <protection locked="0"/>
    </xf>
    <xf numFmtId="0" fontId="2" fillId="0" borderId="16" xfId="0" applyFont="1" applyFill="1" applyBorder="1" applyAlignment="1" applyProtection="1">
      <alignment horizontal="center" vertical="center"/>
      <protection locked="0"/>
    </xf>
    <xf numFmtId="0" fontId="10" fillId="0" borderId="14" xfId="0" applyFont="1" applyBorder="1" applyAlignment="1" applyProtection="1">
      <alignment horizontal="center" vertical="center"/>
      <protection locked="0"/>
    </xf>
    <xf numFmtId="0" fontId="2" fillId="34" borderId="17" xfId="0" applyFont="1" applyFill="1" applyBorder="1" applyAlignment="1" applyProtection="1">
      <alignment vertical="center"/>
      <protection locked="0"/>
    </xf>
    <xf numFmtId="0" fontId="2" fillId="0" borderId="18" xfId="0" applyFont="1" applyFill="1" applyBorder="1" applyAlignment="1" applyProtection="1">
      <alignment horizontal="center" vertical="center"/>
      <protection locked="0"/>
    </xf>
    <xf numFmtId="0" fontId="2" fillId="0" borderId="57" xfId="0" applyFont="1" applyBorder="1" applyAlignment="1">
      <alignment vertical="center"/>
    </xf>
    <xf numFmtId="0" fontId="2" fillId="0" borderId="58" xfId="0" applyFont="1" applyFill="1" applyBorder="1" applyAlignment="1" applyProtection="1">
      <alignment vertical="center"/>
      <protection locked="0"/>
    </xf>
    <xf numFmtId="0" fontId="2" fillId="0" borderId="58" xfId="0" applyFont="1" applyBorder="1" applyAlignment="1">
      <alignment vertical="center"/>
    </xf>
    <xf numFmtId="0" fontId="2" fillId="0" borderId="59" xfId="0" applyFont="1" applyBorder="1" applyAlignment="1">
      <alignment vertical="center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33" borderId="60" xfId="0" applyFont="1" applyFill="1" applyBorder="1" applyAlignment="1" applyProtection="1">
      <alignment horizontal="left" vertical="center"/>
      <protection locked="0"/>
    </xf>
    <xf numFmtId="0" fontId="2" fillId="33" borderId="34" xfId="0" applyFont="1" applyFill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1" fontId="2" fillId="0" borderId="61" xfId="0" applyNumberFormat="1" applyFont="1" applyBorder="1" applyAlignment="1" applyProtection="1">
      <alignment horizontal="center" vertical="center"/>
      <protection locked="0"/>
    </xf>
    <xf numFmtId="0" fontId="2" fillId="0" borderId="37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2" fillId="0" borderId="36" xfId="0" applyFont="1" applyFill="1" applyBorder="1" applyAlignment="1" applyProtection="1">
      <alignment horizontal="center" vertical="center"/>
      <protection locked="0"/>
    </xf>
    <xf numFmtId="0" fontId="2" fillId="0" borderId="37" xfId="0" applyFont="1" applyFill="1" applyBorder="1" applyAlignment="1" applyProtection="1">
      <alignment horizontal="center" vertical="center"/>
      <protection locked="0"/>
    </xf>
    <xf numFmtId="0" fontId="2" fillId="0" borderId="61" xfId="0" applyFont="1" applyBorder="1" applyAlignment="1" applyProtection="1">
      <alignment horizontal="center" vertical="center"/>
      <protection locked="0"/>
    </xf>
    <xf numFmtId="0" fontId="2" fillId="0" borderId="36" xfId="0" applyFont="1" applyBorder="1" applyAlignment="1">
      <alignment horizontal="center" vertical="center"/>
    </xf>
    <xf numFmtId="0" fontId="2" fillId="33" borderId="62" xfId="0" applyFont="1" applyFill="1" applyBorder="1" applyAlignment="1">
      <alignment horizontal="center" vertical="center"/>
    </xf>
    <xf numFmtId="0" fontId="2" fillId="33" borderId="63" xfId="0" applyFont="1" applyFill="1" applyBorder="1" applyAlignment="1" applyProtection="1">
      <alignment horizontal="center" vertical="center"/>
      <protection locked="0"/>
    </xf>
    <xf numFmtId="49" fontId="2" fillId="33" borderId="63" xfId="0" applyNumberFormat="1" applyFont="1" applyFill="1" applyBorder="1" applyAlignment="1">
      <alignment horizontal="center" vertical="center"/>
    </xf>
    <xf numFmtId="0" fontId="2" fillId="33" borderId="64" xfId="0" applyFont="1" applyFill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1" xfId="0" applyFont="1" applyFill="1" applyBorder="1" applyAlignment="1" applyProtection="1">
      <alignment horizontal="center" vertical="center"/>
      <protection locked="0"/>
    </xf>
    <xf numFmtId="0" fontId="2" fillId="0" borderId="61" xfId="0" applyFont="1" applyFill="1" applyBorder="1" applyAlignment="1" applyProtection="1">
      <alignment horizontal="center" vertical="center"/>
      <protection locked="0"/>
    </xf>
    <xf numFmtId="0" fontId="2" fillId="0" borderId="61" xfId="0" applyFont="1" applyBorder="1" applyAlignment="1">
      <alignment horizontal="center" vertical="center"/>
    </xf>
    <xf numFmtId="0" fontId="2" fillId="0" borderId="47" xfId="0" applyFont="1" applyFill="1" applyBorder="1" applyAlignment="1" applyProtection="1">
      <alignment horizontal="center" vertical="center"/>
      <protection locked="0"/>
    </xf>
    <xf numFmtId="0" fontId="2" fillId="0" borderId="39" xfId="0" applyFont="1" applyFill="1" applyBorder="1" applyAlignment="1" applyProtection="1">
      <alignment horizontal="center" vertical="center"/>
      <protection locked="0"/>
    </xf>
    <xf numFmtId="0" fontId="2" fillId="0" borderId="65" xfId="0" applyFont="1" applyBorder="1" applyAlignment="1">
      <alignment horizontal="left" vertical="center"/>
    </xf>
    <xf numFmtId="0" fontId="2" fillId="0" borderId="66" xfId="0" applyFont="1" applyBorder="1" applyAlignment="1">
      <alignment horizontal="left" vertical="center"/>
    </xf>
    <xf numFmtId="0" fontId="2" fillId="0" borderId="37" xfId="0" applyFont="1" applyBorder="1" applyAlignment="1">
      <alignment horizontal="center"/>
    </xf>
    <xf numFmtId="0" fontId="2" fillId="33" borderId="34" xfId="0" applyFont="1" applyFill="1" applyBorder="1" applyAlignment="1">
      <alignment horizontal="center"/>
    </xf>
    <xf numFmtId="1" fontId="2" fillId="0" borderId="42" xfId="0" applyNumberFormat="1" applyFont="1" applyBorder="1" applyAlignment="1" applyProtection="1">
      <alignment horizontal="center" vertical="center"/>
      <protection locked="0"/>
    </xf>
    <xf numFmtId="0" fontId="2" fillId="0" borderId="61" xfId="0" applyFont="1" applyBorder="1" applyAlignment="1">
      <alignment horizontal="center"/>
    </xf>
    <xf numFmtId="0" fontId="2" fillId="0" borderId="37" xfId="56" applyFont="1" applyFill="1" applyBorder="1" applyAlignment="1" applyProtection="1">
      <alignment horizontal="center"/>
      <protection locked="0"/>
    </xf>
    <xf numFmtId="0" fontId="2" fillId="0" borderId="65" xfId="56" applyFont="1" applyFill="1" applyBorder="1" applyAlignment="1" applyProtection="1">
      <alignment horizontal="center"/>
      <protection locked="0"/>
    </xf>
    <xf numFmtId="0" fontId="2" fillId="0" borderId="38" xfId="56" applyFont="1" applyFill="1" applyBorder="1" applyAlignment="1" applyProtection="1">
      <alignment horizontal="center"/>
      <protection locked="0"/>
    </xf>
    <xf numFmtId="0" fontId="2" fillId="0" borderId="39" xfId="56" applyFont="1" applyFill="1" applyBorder="1" applyAlignment="1" applyProtection="1">
      <alignment horizontal="center"/>
      <protection locked="0"/>
    </xf>
    <xf numFmtId="0" fontId="2" fillId="0" borderId="66" xfId="56" applyFont="1" applyFill="1" applyBorder="1" applyAlignment="1" applyProtection="1">
      <alignment horizontal="center"/>
      <protection locked="0"/>
    </xf>
    <xf numFmtId="0" fontId="2" fillId="0" borderId="40" xfId="56" applyFont="1" applyFill="1" applyBorder="1" applyAlignment="1" applyProtection="1">
      <alignment horizontal="center"/>
      <protection locked="0"/>
    </xf>
    <xf numFmtId="1" fontId="2" fillId="0" borderId="67" xfId="0" applyNumberFormat="1" applyFont="1" applyBorder="1" applyAlignment="1" applyProtection="1">
      <alignment horizontal="center" vertical="center"/>
      <protection locked="0"/>
    </xf>
    <xf numFmtId="1" fontId="2" fillId="0" borderId="68" xfId="0" applyNumberFormat="1" applyFont="1" applyBorder="1" applyAlignment="1" applyProtection="1">
      <alignment horizontal="center" vertical="center"/>
      <protection locked="0"/>
    </xf>
    <xf numFmtId="1" fontId="2" fillId="0" borderId="41" xfId="0" applyNumberFormat="1" applyFont="1" applyBorder="1" applyAlignment="1" applyProtection="1">
      <alignment horizontal="center" vertical="center"/>
      <protection locked="0"/>
    </xf>
    <xf numFmtId="1" fontId="2" fillId="0" borderId="36" xfId="0" applyNumberFormat="1" applyFont="1" applyBorder="1" applyAlignment="1" applyProtection="1">
      <alignment horizontal="center" vertical="center"/>
      <protection locked="0"/>
    </xf>
    <xf numFmtId="1" fontId="2" fillId="0" borderId="47" xfId="0" applyNumberFormat="1" applyFont="1" applyBorder="1" applyAlignment="1" applyProtection="1">
      <alignment horizontal="center" vertical="center"/>
      <protection locked="0"/>
    </xf>
    <xf numFmtId="0" fontId="2" fillId="0" borderId="68" xfId="0" applyFont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61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69" xfId="0" applyFont="1" applyBorder="1" applyAlignment="1" applyProtection="1">
      <alignment horizontal="center" vertical="center"/>
      <protection locked="0"/>
    </xf>
    <xf numFmtId="1" fontId="2" fillId="0" borderId="36" xfId="0" applyNumberFormat="1" applyFont="1" applyBorder="1" applyAlignment="1" applyProtection="1" quotePrefix="1">
      <alignment horizontal="center" vertical="center"/>
      <protection locked="0"/>
    </xf>
    <xf numFmtId="1" fontId="2" fillId="0" borderId="38" xfId="0" applyNumberFormat="1" applyFont="1" applyFill="1" applyBorder="1" applyAlignment="1" applyProtection="1">
      <alignment horizontal="center" vertical="center"/>
      <protection locked="0"/>
    </xf>
    <xf numFmtId="0" fontId="2" fillId="0" borderId="19" xfId="0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1" fontId="2" fillId="0" borderId="46" xfId="0" applyNumberFormat="1" applyFont="1" applyBorder="1" applyAlignment="1" applyProtection="1">
      <alignment horizontal="center" vertical="center"/>
      <protection locked="0"/>
    </xf>
    <xf numFmtId="1" fontId="2" fillId="34" borderId="12" xfId="0" applyNumberFormat="1" applyFont="1" applyFill="1" applyBorder="1" applyAlignment="1" applyProtection="1">
      <alignment horizontal="center" vertical="center"/>
      <protection locked="0"/>
    </xf>
    <xf numFmtId="1" fontId="2" fillId="0" borderId="48" xfId="0" applyNumberFormat="1" applyFont="1" applyBorder="1" applyAlignment="1" applyProtection="1">
      <alignment horizontal="center" vertical="center"/>
      <protection locked="0"/>
    </xf>
    <xf numFmtId="1" fontId="2" fillId="0" borderId="35" xfId="0" applyNumberFormat="1" applyFont="1" applyBorder="1" applyAlignment="1" applyProtection="1">
      <alignment horizontal="center" vertical="center"/>
      <protection locked="0"/>
    </xf>
    <xf numFmtId="0" fontId="2" fillId="33" borderId="70" xfId="0" applyFont="1" applyFill="1" applyBorder="1" applyAlignment="1" applyProtection="1">
      <alignment horizontal="center" vertical="justify"/>
      <protection locked="0"/>
    </xf>
    <xf numFmtId="0" fontId="2" fillId="33" borderId="71" xfId="0" applyFont="1" applyFill="1" applyBorder="1" applyAlignment="1" applyProtection="1">
      <alignment horizontal="center" vertical="justify"/>
      <protection locked="0"/>
    </xf>
    <xf numFmtId="0" fontId="2" fillId="33" borderId="48" xfId="0" applyFont="1" applyFill="1" applyBorder="1" applyAlignment="1" applyProtection="1">
      <alignment horizontal="center" vertical="justify"/>
      <protection locked="0"/>
    </xf>
    <xf numFmtId="0" fontId="2" fillId="33" borderId="70" xfId="0" applyFont="1" applyFill="1" applyBorder="1" applyAlignment="1">
      <alignment horizontal="center" vertical="center"/>
    </xf>
    <xf numFmtId="0" fontId="2" fillId="33" borderId="71" xfId="0" applyFont="1" applyFill="1" applyBorder="1" applyAlignment="1">
      <alignment horizontal="center" vertical="center"/>
    </xf>
    <xf numFmtId="0" fontId="2" fillId="33" borderId="48" xfId="0" applyFont="1" applyFill="1" applyBorder="1" applyAlignment="1">
      <alignment horizontal="center" vertical="center"/>
    </xf>
    <xf numFmtId="0" fontId="2" fillId="33" borderId="35" xfId="0" applyFont="1" applyFill="1" applyBorder="1" applyAlignment="1" applyProtection="1">
      <alignment horizontal="center" vertical="center"/>
      <protection locked="0"/>
    </xf>
    <xf numFmtId="0" fontId="2" fillId="34" borderId="22" xfId="0" applyFont="1" applyFill="1" applyBorder="1" applyAlignment="1">
      <alignment vertical="center"/>
    </xf>
    <xf numFmtId="0" fontId="2" fillId="34" borderId="17" xfId="0" applyFont="1" applyFill="1" applyBorder="1" applyAlignment="1" applyProtection="1">
      <alignment horizontal="left" vertical="center"/>
      <protection locked="0"/>
    </xf>
    <xf numFmtId="0" fontId="2" fillId="0" borderId="35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/>
      <protection locked="0"/>
    </xf>
    <xf numFmtId="0" fontId="2" fillId="0" borderId="11" xfId="0" applyFont="1" applyBorder="1" applyAlignment="1" applyProtection="1">
      <alignment/>
      <protection locked="0"/>
    </xf>
    <xf numFmtId="0" fontId="2" fillId="0" borderId="12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horizontal="right" shrinkToFit="1"/>
      <protection locked="0"/>
    </xf>
    <xf numFmtId="0" fontId="2" fillId="0" borderId="10" xfId="0" applyFont="1" applyBorder="1" applyAlignment="1" applyProtection="1">
      <alignment/>
      <protection locked="0"/>
    </xf>
    <xf numFmtId="0" fontId="5" fillId="0" borderId="24" xfId="0" applyFont="1" applyBorder="1" applyAlignment="1" applyProtection="1">
      <alignment/>
      <protection locked="0"/>
    </xf>
    <xf numFmtId="0" fontId="5" fillId="0" borderId="26" xfId="0" applyFont="1" applyBorder="1" applyAlignment="1" applyProtection="1">
      <alignment/>
      <protection locked="0"/>
    </xf>
    <xf numFmtId="0" fontId="21" fillId="0" borderId="72" xfId="0" applyFont="1" applyFill="1" applyBorder="1" applyAlignment="1" applyProtection="1">
      <alignment/>
      <protection locked="0"/>
    </xf>
    <xf numFmtId="0" fontId="21" fillId="0" borderId="27" xfId="0" applyFont="1" applyFill="1" applyBorder="1" applyAlignment="1" applyProtection="1">
      <alignment/>
      <protection locked="0"/>
    </xf>
    <xf numFmtId="0" fontId="2" fillId="0" borderId="37" xfId="0" applyNumberFormat="1" applyFont="1" applyFill="1" applyBorder="1" applyAlignment="1" applyProtection="1">
      <alignment horizontal="center"/>
      <protection locked="0"/>
    </xf>
    <xf numFmtId="0" fontId="2" fillId="0" borderId="39" xfId="0" applyNumberFormat="1" applyFont="1" applyFill="1" applyBorder="1" applyAlignment="1" applyProtection="1">
      <alignment horizontal="center"/>
      <protection locked="0"/>
    </xf>
    <xf numFmtId="0" fontId="2" fillId="0" borderId="61" xfId="0" applyNumberFormat="1" applyFont="1" applyFill="1" applyBorder="1" applyAlignment="1" applyProtection="1">
      <alignment horizontal="center"/>
      <protection locked="0"/>
    </xf>
    <xf numFmtId="0" fontId="2" fillId="0" borderId="36" xfId="0" applyNumberFormat="1" applyFont="1" applyFill="1" applyBorder="1" applyAlignment="1" applyProtection="1">
      <alignment horizontal="center"/>
      <protection locked="0"/>
    </xf>
    <xf numFmtId="0" fontId="2" fillId="0" borderId="47" xfId="0" applyNumberFormat="1" applyFont="1" applyFill="1" applyBorder="1" applyAlignment="1" applyProtection="1">
      <alignment horizontal="center"/>
      <protection locked="0"/>
    </xf>
    <xf numFmtId="0" fontId="2" fillId="0" borderId="0" xfId="0" applyNumberFormat="1" applyFont="1" applyFill="1" applyBorder="1" applyAlignment="1" applyProtection="1">
      <alignment horizontal="center"/>
      <protection locked="0"/>
    </xf>
    <xf numFmtId="0" fontId="2" fillId="0" borderId="41" xfId="0" applyNumberFormat="1" applyFont="1" applyFill="1" applyBorder="1" applyAlignment="1" applyProtection="1">
      <alignment horizontal="center"/>
      <protection locked="0"/>
    </xf>
    <xf numFmtId="0" fontId="2" fillId="0" borderId="41" xfId="0" applyNumberFormat="1" applyFont="1" applyBorder="1" applyAlignment="1">
      <alignment horizontal="center"/>
    </xf>
    <xf numFmtId="0" fontId="2" fillId="0" borderId="36" xfId="0" applyNumberFormat="1" applyFont="1" applyBorder="1" applyAlignment="1">
      <alignment horizontal="center"/>
    </xf>
    <xf numFmtId="0" fontId="2" fillId="0" borderId="0" xfId="0" applyNumberFormat="1" applyFont="1" applyFill="1" applyBorder="1" applyAlignment="1" applyProtection="1">
      <alignment horizontal="center" shrinkToFit="1"/>
      <protection locked="0"/>
    </xf>
    <xf numFmtId="0" fontId="2" fillId="0" borderId="69" xfId="0" applyNumberFormat="1" applyFont="1" applyFill="1" applyBorder="1" applyAlignment="1" applyProtection="1">
      <alignment horizontal="center"/>
      <protection locked="0"/>
    </xf>
    <xf numFmtId="0" fontId="2" fillId="0" borderId="67" xfId="0" applyNumberFormat="1" applyFont="1" applyFill="1" applyBorder="1" applyAlignment="1" applyProtection="1">
      <alignment horizontal="center"/>
      <protection locked="0"/>
    </xf>
    <xf numFmtId="0" fontId="2" fillId="0" borderId="68" xfId="0" applyNumberFormat="1" applyFont="1" applyFill="1" applyBorder="1" applyAlignment="1" applyProtection="1">
      <alignment horizontal="center"/>
      <protection locked="0"/>
    </xf>
    <xf numFmtId="0" fontId="2" fillId="0" borderId="13" xfId="0" applyFont="1" applyFill="1" applyBorder="1" applyAlignment="1" applyProtection="1">
      <alignment horizontal="center"/>
      <protection locked="0"/>
    </xf>
    <xf numFmtId="0" fontId="2" fillId="0" borderId="15" xfId="0" applyFont="1" applyFill="1" applyBorder="1" applyAlignment="1" applyProtection="1">
      <alignment horizontal="center"/>
      <protection locked="0"/>
    </xf>
    <xf numFmtId="0" fontId="2" fillId="0" borderId="17" xfId="0" applyFont="1" applyFill="1" applyBorder="1" applyAlignment="1" applyProtection="1">
      <alignment horizontal="center"/>
      <protection locked="0"/>
    </xf>
    <xf numFmtId="1" fontId="2" fillId="0" borderId="17" xfId="0" applyNumberFormat="1" applyFont="1" applyFill="1" applyBorder="1" applyAlignment="1" applyProtection="1">
      <alignment horizontal="center"/>
      <protection locked="0"/>
    </xf>
    <xf numFmtId="0" fontId="5" fillId="0" borderId="10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5" fillId="0" borderId="11" xfId="0" applyFont="1" applyBorder="1" applyAlignment="1" applyProtection="1">
      <alignment/>
      <protection locked="0"/>
    </xf>
    <xf numFmtId="0" fontId="15" fillId="0" borderId="25" xfId="0" applyFont="1" applyBorder="1" applyAlignment="1" applyProtection="1">
      <alignment textRotation="90" wrapText="1"/>
      <protection locked="0"/>
    </xf>
    <xf numFmtId="0" fontId="15" fillId="0" borderId="27" xfId="0" applyFont="1" applyBorder="1" applyAlignment="1" applyProtection="1">
      <alignment textRotation="90" wrapText="1"/>
      <protection locked="0"/>
    </xf>
    <xf numFmtId="0" fontId="15" fillId="0" borderId="27" xfId="0" applyFont="1" applyBorder="1" applyAlignment="1">
      <alignment textRotation="90"/>
    </xf>
    <xf numFmtId="0" fontId="0" fillId="0" borderId="25" xfId="0" applyBorder="1" applyAlignment="1">
      <alignment/>
    </xf>
    <xf numFmtId="0" fontId="16" fillId="0" borderId="21" xfId="47" applyFont="1" applyBorder="1" applyAlignment="1" applyProtection="1">
      <alignment/>
      <protection/>
    </xf>
    <xf numFmtId="0" fontId="2" fillId="0" borderId="21" xfId="0" applyFont="1" applyBorder="1" applyAlignment="1" applyProtection="1">
      <alignment/>
      <protection/>
    </xf>
    <xf numFmtId="0" fontId="2" fillId="0" borderId="23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 locked="0"/>
    </xf>
    <xf numFmtId="49" fontId="2" fillId="0" borderId="69" xfId="0" applyNumberFormat="1" applyFont="1" applyFill="1" applyBorder="1" applyAlignment="1" applyProtection="1">
      <alignment horizontal="center"/>
      <protection locked="0"/>
    </xf>
    <xf numFmtId="49" fontId="2" fillId="0" borderId="67" xfId="0" applyNumberFormat="1" applyFont="1" applyFill="1" applyBorder="1" applyAlignment="1" applyProtection="1">
      <alignment horizontal="center"/>
      <protection locked="0"/>
    </xf>
    <xf numFmtId="49" fontId="2" fillId="0" borderId="68" xfId="0" applyNumberFormat="1" applyFont="1" applyFill="1" applyBorder="1" applyAlignment="1" applyProtection="1">
      <alignment horizontal="center"/>
      <protection locked="0"/>
    </xf>
    <xf numFmtId="49" fontId="2" fillId="0" borderId="0" xfId="0" applyNumberFormat="1" applyFont="1" applyFill="1" applyBorder="1" applyAlignment="1" applyProtection="1">
      <alignment horizontal="center"/>
      <protection locked="0"/>
    </xf>
    <xf numFmtId="49" fontId="2" fillId="0" borderId="0" xfId="0" applyNumberFormat="1" applyFont="1" applyFill="1" applyBorder="1" applyAlignment="1" applyProtection="1">
      <alignment horizontal="center" shrinkToFit="1"/>
      <protection locked="0"/>
    </xf>
    <xf numFmtId="0" fontId="6" fillId="34" borderId="12" xfId="0" applyFont="1" applyFill="1" applyBorder="1" applyAlignment="1" applyProtection="1">
      <alignment horizontal="center"/>
      <protection locked="0"/>
    </xf>
    <xf numFmtId="0" fontId="2" fillId="0" borderId="73" xfId="0" applyNumberFormat="1" applyFont="1" applyFill="1" applyBorder="1" applyAlignment="1" applyProtection="1">
      <alignment horizontal="center"/>
      <protection locked="0"/>
    </xf>
    <xf numFmtId="0" fontId="2" fillId="0" borderId="74" xfId="0" applyNumberFormat="1" applyFont="1" applyFill="1" applyBorder="1" applyAlignment="1" applyProtection="1">
      <alignment horizontal="center"/>
      <protection locked="0"/>
    </xf>
    <xf numFmtId="0" fontId="2" fillId="0" borderId="75" xfId="0" applyNumberFormat="1" applyFont="1" applyFill="1" applyBorder="1" applyAlignment="1" applyProtection="1">
      <alignment horizontal="center"/>
      <protection locked="0"/>
    </xf>
    <xf numFmtId="0" fontId="2" fillId="0" borderId="42" xfId="0" applyNumberFormat="1" applyFont="1" applyFill="1" applyBorder="1" applyAlignment="1" applyProtection="1">
      <alignment horizontal="center"/>
      <protection locked="0"/>
    </xf>
    <xf numFmtId="0" fontId="2" fillId="0" borderId="38" xfId="0" applyNumberFormat="1" applyFont="1" applyFill="1" applyBorder="1" applyAlignment="1" applyProtection="1">
      <alignment horizontal="center"/>
      <protection locked="0"/>
    </xf>
    <xf numFmtId="0" fontId="2" fillId="0" borderId="40" xfId="0" applyNumberFormat="1" applyFont="1" applyFill="1" applyBorder="1" applyAlignment="1" applyProtection="1">
      <alignment horizontal="center"/>
      <protection locked="0"/>
    </xf>
    <xf numFmtId="0" fontId="6" fillId="34" borderId="12" xfId="0" applyFont="1" applyFill="1" applyBorder="1" applyAlignment="1" applyProtection="1">
      <alignment/>
      <protection locked="0"/>
    </xf>
    <xf numFmtId="49" fontId="6" fillId="34" borderId="12" xfId="0" applyNumberFormat="1" applyFont="1" applyFill="1" applyBorder="1" applyAlignment="1" applyProtection="1">
      <alignment horizontal="center"/>
      <protection locked="0"/>
    </xf>
    <xf numFmtId="0" fontId="6" fillId="34" borderId="33" xfId="0" applyFont="1" applyFill="1" applyBorder="1" applyAlignment="1" applyProtection="1">
      <alignment horizontal="center"/>
      <protection locked="0"/>
    </xf>
    <xf numFmtId="0" fontId="6" fillId="34" borderId="76" xfId="0" applyFont="1" applyFill="1" applyBorder="1" applyAlignment="1" applyProtection="1">
      <alignment horizontal="center"/>
      <protection locked="0"/>
    </xf>
    <xf numFmtId="49" fontId="6" fillId="34" borderId="77" xfId="0" applyNumberFormat="1" applyFont="1" applyFill="1" applyBorder="1" applyAlignment="1" applyProtection="1">
      <alignment horizontal="center"/>
      <protection locked="0"/>
    </xf>
    <xf numFmtId="0" fontId="6" fillId="34" borderId="49" xfId="0" applyFont="1" applyFill="1" applyBorder="1" applyAlignment="1" applyProtection="1">
      <alignment horizontal="center"/>
      <protection locked="0"/>
    </xf>
    <xf numFmtId="49" fontId="6" fillId="34" borderId="78" xfId="0" applyNumberFormat="1" applyFont="1" applyFill="1" applyBorder="1" applyAlignment="1" applyProtection="1">
      <alignment horizontal="center"/>
      <protection locked="0"/>
    </xf>
    <xf numFmtId="0" fontId="21" fillId="34" borderId="12" xfId="0" applyFont="1" applyFill="1" applyBorder="1" applyAlignment="1" applyProtection="1">
      <alignment/>
      <protection locked="0"/>
    </xf>
    <xf numFmtId="0" fontId="6" fillId="0" borderId="49" xfId="0" applyFont="1" applyFill="1" applyBorder="1" applyAlignment="1" applyProtection="1">
      <alignment horizontal="center" vertical="center"/>
      <protection locked="0"/>
    </xf>
    <xf numFmtId="3" fontId="2" fillId="0" borderId="33" xfId="0" applyNumberFormat="1" applyFont="1" applyBorder="1" applyAlignment="1" applyProtection="1">
      <alignment horizontal="center" vertical="justify"/>
      <protection locked="0"/>
    </xf>
    <xf numFmtId="3" fontId="2" fillId="0" borderId="56" xfId="0" applyNumberFormat="1" applyFont="1" applyBorder="1" applyAlignment="1" applyProtection="1">
      <alignment horizontal="center" vertical="justify"/>
      <protection locked="0"/>
    </xf>
    <xf numFmtId="49" fontId="2" fillId="0" borderId="79" xfId="0" applyNumberFormat="1" applyFont="1" applyBorder="1" applyAlignment="1" applyProtection="1">
      <alignment vertical="justify"/>
      <protection locked="0"/>
    </xf>
    <xf numFmtId="0" fontId="2" fillId="34" borderId="22" xfId="0" applyFont="1" applyFill="1" applyBorder="1" applyAlignment="1">
      <alignment/>
    </xf>
    <xf numFmtId="3" fontId="2" fillId="0" borderId="16" xfId="0" applyNumberFormat="1" applyFont="1" applyBorder="1" applyAlignment="1" applyProtection="1">
      <alignment horizontal="center" vertical="center"/>
      <protection locked="0"/>
    </xf>
    <xf numFmtId="3" fontId="2" fillId="0" borderId="18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horizontal="left"/>
    </xf>
    <xf numFmtId="0" fontId="2" fillId="0" borderId="46" xfId="0" applyFont="1" applyBorder="1" applyAlignment="1">
      <alignment horizontal="left"/>
    </xf>
    <xf numFmtId="0" fontId="9" fillId="0" borderId="0" xfId="55" applyBorder="1" applyAlignment="1" applyProtection="1">
      <alignment horizontal="center"/>
      <protection/>
    </xf>
    <xf numFmtId="0" fontId="9" fillId="34" borderId="55" xfId="55" applyFont="1" applyFill="1" applyBorder="1" applyAlignment="1" applyProtection="1">
      <alignment horizontal="center"/>
      <protection/>
    </xf>
    <xf numFmtId="0" fontId="24" fillId="34" borderId="80" xfId="55" applyFont="1" applyFill="1" applyBorder="1" applyAlignment="1" applyProtection="1">
      <alignment horizontal="center"/>
      <protection/>
    </xf>
    <xf numFmtId="0" fontId="9" fillId="34" borderId="11" xfId="55" applyFill="1" applyBorder="1" applyAlignment="1" applyProtection="1">
      <alignment horizontal="center"/>
      <protection/>
    </xf>
    <xf numFmtId="0" fontId="9" fillId="34" borderId="81" xfId="55" applyFill="1" applyBorder="1" applyAlignment="1" applyProtection="1">
      <alignment horizontal="center"/>
      <protection/>
    </xf>
    <xf numFmtId="0" fontId="9" fillId="34" borderId="82" xfId="55" applyFill="1" applyBorder="1" applyAlignment="1" applyProtection="1">
      <alignment horizontal="center"/>
      <protection/>
    </xf>
    <xf numFmtId="0" fontId="9" fillId="0" borderId="0" xfId="55" applyBorder="1" applyProtection="1">
      <alignment/>
      <protection/>
    </xf>
    <xf numFmtId="0" fontId="24" fillId="34" borderId="55" xfId="55" applyFont="1" applyFill="1" applyBorder="1" applyAlignment="1" applyProtection="1">
      <alignment horizontal="center"/>
      <protection/>
    </xf>
    <xf numFmtId="0" fontId="9" fillId="34" borderId="83" xfId="55" applyFont="1" applyFill="1" applyBorder="1" applyAlignment="1" applyProtection="1">
      <alignment horizontal="center"/>
      <protection/>
    </xf>
    <xf numFmtId="0" fontId="9" fillId="34" borderId="84" xfId="55" applyFont="1" applyFill="1" applyBorder="1" applyAlignment="1" applyProtection="1">
      <alignment horizontal="center"/>
      <protection/>
    </xf>
    <xf numFmtId="0" fontId="9" fillId="34" borderId="85" xfId="55" applyFont="1" applyFill="1" applyBorder="1" applyAlignment="1" applyProtection="1">
      <alignment horizontal="center"/>
      <protection/>
    </xf>
    <xf numFmtId="0" fontId="9" fillId="34" borderId="13" xfId="55" applyFill="1" applyBorder="1" applyAlignment="1" applyProtection="1">
      <alignment horizontal="center"/>
      <protection/>
    </xf>
    <xf numFmtId="0" fontId="24" fillId="34" borderId="13" xfId="55" applyFont="1" applyFill="1" applyBorder="1" applyAlignment="1" applyProtection="1">
      <alignment horizontal="center"/>
      <protection/>
    </xf>
    <xf numFmtId="1" fontId="9" fillId="0" borderId="73" xfId="55" applyNumberFormat="1" applyBorder="1" applyAlignment="1" applyProtection="1">
      <alignment horizontal="center"/>
      <protection/>
    </xf>
    <xf numFmtId="0" fontId="9" fillId="0" borderId="61" xfId="55" applyBorder="1" applyAlignment="1" applyProtection="1">
      <alignment horizontal="center"/>
      <protection/>
    </xf>
    <xf numFmtId="0" fontId="9" fillId="0" borderId="42" xfId="55" applyBorder="1" applyAlignment="1" applyProtection="1">
      <alignment horizontal="center"/>
      <protection/>
    </xf>
    <xf numFmtId="0" fontId="9" fillId="34" borderId="31" xfId="55" applyFill="1" applyBorder="1" applyAlignment="1" applyProtection="1">
      <alignment horizontal="center"/>
      <protection/>
    </xf>
    <xf numFmtId="0" fontId="24" fillId="34" borderId="31" xfId="55" applyFont="1" applyFill="1" applyBorder="1" applyAlignment="1" applyProtection="1">
      <alignment horizontal="center"/>
      <protection/>
    </xf>
    <xf numFmtId="0" fontId="9" fillId="0" borderId="23" xfId="55" applyBorder="1" applyAlignment="1" applyProtection="1">
      <alignment horizontal="center"/>
      <protection/>
    </xf>
    <xf numFmtId="0" fontId="9" fillId="0" borderId="28" xfId="55" applyBorder="1" applyAlignment="1" applyProtection="1">
      <alignment horizontal="center"/>
      <protection/>
    </xf>
    <xf numFmtId="0" fontId="9" fillId="0" borderId="29" xfId="55" applyBorder="1" applyAlignment="1" applyProtection="1">
      <alignment horizontal="center"/>
      <protection/>
    </xf>
    <xf numFmtId="0" fontId="9" fillId="34" borderId="15" xfId="55" applyFill="1" applyBorder="1" applyAlignment="1" applyProtection="1">
      <alignment horizontal="center"/>
      <protection/>
    </xf>
    <xf numFmtId="0" fontId="24" fillId="34" borderId="15" xfId="55" applyFont="1" applyFill="1" applyBorder="1" applyAlignment="1" applyProtection="1">
      <alignment horizontal="center"/>
      <protection/>
    </xf>
    <xf numFmtId="0" fontId="9" fillId="0" borderId="74" xfId="55" applyBorder="1" applyAlignment="1" applyProtection="1">
      <alignment horizontal="center"/>
      <protection/>
    </xf>
    <xf numFmtId="0" fontId="9" fillId="0" borderId="37" xfId="55" applyBorder="1" applyAlignment="1" applyProtection="1">
      <alignment horizontal="center"/>
      <protection/>
    </xf>
    <xf numFmtId="0" fontId="9" fillId="0" borderId="38" xfId="55" applyBorder="1" applyAlignment="1" applyProtection="1">
      <alignment horizontal="center"/>
      <protection/>
    </xf>
    <xf numFmtId="0" fontId="9" fillId="0" borderId="38" xfId="55" applyFont="1" applyBorder="1" applyAlignment="1" applyProtection="1">
      <alignment horizontal="center"/>
      <protection/>
    </xf>
    <xf numFmtId="49" fontId="9" fillId="0" borderId="37" xfId="55" applyNumberFormat="1" applyFont="1" applyBorder="1" applyAlignment="1" applyProtection="1">
      <alignment horizontal="center"/>
      <protection/>
    </xf>
    <xf numFmtId="0" fontId="9" fillId="34" borderId="17" xfId="55" applyFill="1" applyBorder="1" applyAlignment="1" applyProtection="1">
      <alignment horizontal="center"/>
      <protection/>
    </xf>
    <xf numFmtId="0" fontId="24" fillId="34" borderId="17" xfId="55" applyFont="1" applyFill="1" applyBorder="1" applyAlignment="1" applyProtection="1">
      <alignment horizontal="center"/>
      <protection/>
    </xf>
    <xf numFmtId="0" fontId="9" fillId="0" borderId="75" xfId="55" applyBorder="1" applyAlignment="1" applyProtection="1">
      <alignment horizontal="center"/>
      <protection/>
    </xf>
    <xf numFmtId="0" fontId="9" fillId="0" borderId="39" xfId="55" applyBorder="1" applyAlignment="1" applyProtection="1">
      <alignment horizontal="center"/>
      <protection/>
    </xf>
    <xf numFmtId="0" fontId="9" fillId="0" borderId="40" xfId="55" applyBorder="1" applyAlignment="1" applyProtection="1">
      <alignment horizontal="center"/>
      <protection/>
    </xf>
    <xf numFmtId="0" fontId="9" fillId="0" borderId="37" xfId="55" applyFont="1" applyBorder="1" applyProtection="1">
      <alignment/>
      <protection/>
    </xf>
    <xf numFmtId="0" fontId="9" fillId="0" borderId="61" xfId="55" applyFont="1" applyBorder="1" applyAlignment="1" applyProtection="1">
      <alignment horizontal="center" vertical="center"/>
      <protection locked="0"/>
    </xf>
    <xf numFmtId="0" fontId="9" fillId="0" borderId="19" xfId="55" applyBorder="1" applyAlignment="1" applyProtection="1">
      <alignment horizontal="right"/>
      <protection/>
    </xf>
    <xf numFmtId="0" fontId="9" fillId="0" borderId="37" xfId="55" applyFont="1" applyBorder="1" applyAlignment="1" applyProtection="1">
      <alignment horizontal="center" vertical="center"/>
      <protection locked="0"/>
    </xf>
    <xf numFmtId="0" fontId="9" fillId="0" borderId="67" xfId="55" applyBorder="1" applyAlignment="1" applyProtection="1">
      <alignment horizontal="right"/>
      <protection/>
    </xf>
    <xf numFmtId="0" fontId="9" fillId="0" borderId="39" xfId="55" applyFont="1" applyBorder="1" applyAlignment="1" applyProtection="1">
      <alignment horizontal="center" vertical="center"/>
      <protection locked="0"/>
    </xf>
    <xf numFmtId="0" fontId="9" fillId="0" borderId="68" xfId="55" applyBorder="1" applyAlignment="1" applyProtection="1">
      <alignment horizontal="right"/>
      <protection/>
    </xf>
    <xf numFmtId="0" fontId="9" fillId="0" borderId="20" xfId="55" applyFill="1" applyBorder="1" applyAlignment="1" applyProtection="1">
      <alignment horizontal="right"/>
      <protection locked="0"/>
    </xf>
    <xf numFmtId="0" fontId="9" fillId="0" borderId="65" xfId="55" applyFill="1" applyBorder="1" applyAlignment="1" applyProtection="1">
      <alignment horizontal="right"/>
      <protection locked="0"/>
    </xf>
    <xf numFmtId="0" fontId="9" fillId="0" borderId="65" xfId="55" applyFont="1" applyFill="1" applyBorder="1" applyAlignment="1" applyProtection="1">
      <alignment horizontal="right"/>
      <protection locked="0"/>
    </xf>
    <xf numFmtId="0" fontId="9" fillId="0" borderId="66" xfId="55" applyFont="1" applyFill="1" applyBorder="1" applyAlignment="1" applyProtection="1">
      <alignment horizontal="right"/>
      <protection locked="0"/>
    </xf>
    <xf numFmtId="0" fontId="2" fillId="0" borderId="10" xfId="56" applyFont="1" applyBorder="1" applyAlignment="1">
      <alignment vertical="center"/>
      <protection/>
    </xf>
    <xf numFmtId="0" fontId="7" fillId="34" borderId="86" xfId="56" applyFont="1" applyFill="1" applyBorder="1" applyAlignment="1">
      <alignment horizontal="center" vertical="center"/>
      <protection/>
    </xf>
    <xf numFmtId="0" fontId="7" fillId="34" borderId="87" xfId="56" applyFont="1" applyFill="1" applyBorder="1" applyAlignment="1">
      <alignment horizontal="center" vertical="center"/>
      <protection/>
    </xf>
    <xf numFmtId="0" fontId="26" fillId="34" borderId="87" xfId="56" applyFont="1" applyFill="1" applyBorder="1" applyAlignment="1">
      <alignment vertical="center"/>
      <protection/>
    </xf>
    <xf numFmtId="0" fontId="26" fillId="34" borderId="87" xfId="56" applyFont="1" applyFill="1" applyBorder="1" applyAlignment="1">
      <alignment horizontal="center" vertical="center"/>
      <protection/>
    </xf>
    <xf numFmtId="0" fontId="26" fillId="34" borderId="88" xfId="56" applyFont="1" applyFill="1" applyBorder="1" applyAlignment="1">
      <alignment vertical="center"/>
      <protection/>
    </xf>
    <xf numFmtId="0" fontId="2" fillId="0" borderId="11" xfId="56" applyFont="1" applyFill="1" applyBorder="1" applyAlignment="1">
      <alignment vertical="center"/>
      <protection/>
    </xf>
    <xf numFmtId="0" fontId="2" fillId="0" borderId="0" xfId="56" applyFont="1" applyFill="1" applyBorder="1" applyAlignment="1">
      <alignment vertical="center"/>
      <protection/>
    </xf>
    <xf numFmtId="0" fontId="2" fillId="0" borderId="0" xfId="56" applyFont="1" applyAlignment="1">
      <alignment vertical="center"/>
      <protection/>
    </xf>
    <xf numFmtId="0" fontId="2" fillId="0" borderId="89" xfId="56" applyFont="1" applyFill="1" applyBorder="1" applyAlignment="1">
      <alignment horizontal="center" vertical="center"/>
      <protection/>
    </xf>
    <xf numFmtId="0" fontId="2" fillId="0" borderId="84" xfId="56" applyFont="1" applyFill="1" applyBorder="1" applyAlignment="1" applyProtection="1">
      <alignment horizontal="center" vertical="center"/>
      <protection locked="0"/>
    </xf>
    <xf numFmtId="0" fontId="2" fillId="0" borderId="90" xfId="56" applyFont="1" applyBorder="1" applyAlignment="1" applyProtection="1">
      <alignment horizontal="center" vertical="center"/>
      <protection locked="0"/>
    </xf>
    <xf numFmtId="0" fontId="2" fillId="0" borderId="91" xfId="56" applyFont="1" applyBorder="1" applyAlignment="1" applyProtection="1">
      <alignment horizontal="center" vertical="center"/>
      <protection locked="0"/>
    </xf>
    <xf numFmtId="0" fontId="2" fillId="0" borderId="92" xfId="56" applyFont="1" applyFill="1" applyBorder="1" applyAlignment="1" applyProtection="1">
      <alignment horizontal="center" vertical="center"/>
      <protection locked="0"/>
    </xf>
    <xf numFmtId="0" fontId="2" fillId="0" borderId="93" xfId="56" applyFont="1" applyBorder="1" applyAlignment="1" applyProtection="1">
      <alignment horizontal="center" vertical="center"/>
      <protection locked="0"/>
    </xf>
    <xf numFmtId="0" fontId="2" fillId="0" borderId="94" xfId="56" applyFont="1" applyFill="1" applyBorder="1" applyAlignment="1" applyProtection="1">
      <alignment horizontal="center" vertical="center"/>
      <protection locked="0"/>
    </xf>
    <xf numFmtId="0" fontId="2" fillId="0" borderId="0" xfId="56" applyFont="1" applyFill="1" applyBorder="1" applyAlignment="1">
      <alignment horizontal="center" vertical="center"/>
      <protection/>
    </xf>
    <xf numFmtId="0" fontId="2" fillId="0" borderId="0" xfId="56" applyFont="1" applyFill="1" applyBorder="1" applyAlignment="1" applyProtection="1">
      <alignment horizontal="center" vertical="center"/>
      <protection locked="0"/>
    </xf>
    <xf numFmtId="0" fontId="2" fillId="0" borderId="0" xfId="56" applyFont="1" applyAlignment="1">
      <alignment horizontal="center" vertical="center"/>
      <protection/>
    </xf>
    <xf numFmtId="0" fontId="2" fillId="0" borderId="0" xfId="56" applyFont="1" applyBorder="1" applyAlignment="1">
      <alignment horizontal="center" vertical="center"/>
      <protection/>
    </xf>
    <xf numFmtId="0" fontId="7" fillId="34" borderId="95" xfId="56" applyFont="1" applyFill="1" applyBorder="1" applyAlignment="1" applyProtection="1">
      <alignment horizontal="center" vertical="center"/>
      <protection/>
    </xf>
    <xf numFmtId="0" fontId="7" fillId="34" borderId="96" xfId="56" applyFont="1" applyFill="1" applyBorder="1" applyAlignment="1" applyProtection="1">
      <alignment horizontal="center" vertical="center"/>
      <protection/>
    </xf>
    <xf numFmtId="0" fontId="2" fillId="0" borderId="85" xfId="56" applyFont="1" applyFill="1" applyBorder="1" applyAlignment="1" applyProtection="1">
      <alignment horizontal="center" vertical="center"/>
      <protection locked="0"/>
    </xf>
    <xf numFmtId="0" fontId="2" fillId="0" borderId="97" xfId="56" applyFont="1" applyBorder="1" applyAlignment="1" applyProtection="1">
      <alignment horizontal="center" vertical="center"/>
      <protection locked="0"/>
    </xf>
    <xf numFmtId="0" fontId="2" fillId="0" borderId="90" xfId="0" applyFont="1" applyBorder="1" applyAlignment="1" applyProtection="1">
      <alignment horizontal="center" vertical="center"/>
      <protection locked="0"/>
    </xf>
    <xf numFmtId="0" fontId="25" fillId="0" borderId="0" xfId="55" applyFont="1" applyBorder="1" applyAlignment="1" applyProtection="1">
      <alignment horizontal="center"/>
      <protection locked="0"/>
    </xf>
    <xf numFmtId="1" fontId="27" fillId="0" borderId="36" xfId="0" applyNumberFormat="1" applyFont="1" applyBorder="1" applyAlignment="1" applyProtection="1" quotePrefix="1">
      <alignment horizontal="center" vertical="center"/>
      <protection locked="0"/>
    </xf>
    <xf numFmtId="1" fontId="27" fillId="0" borderId="37" xfId="0" applyNumberFormat="1" applyFont="1" applyBorder="1" applyAlignment="1" applyProtection="1">
      <alignment horizontal="center" vertical="center"/>
      <protection locked="0"/>
    </xf>
    <xf numFmtId="1" fontId="27" fillId="0" borderId="36" xfId="0" applyNumberFormat="1" applyFont="1" applyBorder="1" applyAlignment="1" applyProtection="1">
      <alignment horizontal="center" vertical="center"/>
      <protection locked="0"/>
    </xf>
    <xf numFmtId="1" fontId="27" fillId="0" borderId="38" xfId="0" applyNumberFormat="1" applyFont="1" applyBorder="1" applyAlignment="1" applyProtection="1">
      <alignment horizontal="center" vertical="center"/>
      <protection locked="0"/>
    </xf>
    <xf numFmtId="1" fontId="27" fillId="0" borderId="37" xfId="0" applyNumberFormat="1" applyFont="1" applyFill="1" applyBorder="1" applyAlignment="1" applyProtection="1">
      <alignment horizontal="center" vertical="center"/>
      <protection locked="0"/>
    </xf>
    <xf numFmtId="1" fontId="27" fillId="0" borderId="98" xfId="0" applyNumberFormat="1" applyFont="1" applyBorder="1" applyAlignment="1" applyProtection="1">
      <alignment horizontal="center" vertical="center"/>
      <protection locked="0"/>
    </xf>
    <xf numFmtId="1" fontId="27" fillId="0" borderId="45" xfId="0" applyNumberFormat="1" applyFont="1" applyBorder="1" applyAlignment="1" applyProtection="1">
      <alignment horizontal="center" vertical="center"/>
      <protection locked="0"/>
    </xf>
    <xf numFmtId="0" fontId="9" fillId="0" borderId="0" xfId="55" applyFill="1" applyBorder="1" applyAlignment="1" applyProtection="1">
      <alignment horizontal="center"/>
      <protection/>
    </xf>
    <xf numFmtId="0" fontId="9" fillId="0" borderId="0" xfId="55" applyFont="1" applyFill="1" applyBorder="1" applyAlignment="1" applyProtection="1">
      <alignment horizontal="center"/>
      <protection/>
    </xf>
    <xf numFmtId="0" fontId="27" fillId="0" borderId="37" xfId="0" applyFont="1" applyBorder="1" applyAlignment="1" applyProtection="1">
      <alignment horizontal="center" vertical="center"/>
      <protection locked="0"/>
    </xf>
    <xf numFmtId="0" fontId="27" fillId="0" borderId="37" xfId="0" applyFont="1" applyFill="1" applyBorder="1" applyAlignment="1">
      <alignment horizontal="center" vertical="center"/>
    </xf>
    <xf numFmtId="0" fontId="27" fillId="0" borderId="38" xfId="0" applyFont="1" applyFill="1" applyBorder="1" applyAlignment="1">
      <alignment horizontal="center" vertical="center"/>
    </xf>
    <xf numFmtId="0" fontId="27" fillId="0" borderId="39" xfId="0" applyFont="1" applyBorder="1" applyAlignment="1" applyProtection="1">
      <alignment horizontal="center" vertical="center"/>
      <protection locked="0"/>
    </xf>
    <xf numFmtId="0" fontId="27" fillId="0" borderId="39" xfId="0" applyFont="1" applyBorder="1" applyAlignment="1">
      <alignment horizontal="center" vertical="center"/>
    </xf>
    <xf numFmtId="0" fontId="27" fillId="0" borderId="40" xfId="0" applyFont="1" applyBorder="1" applyAlignment="1">
      <alignment horizontal="center" vertical="center"/>
    </xf>
    <xf numFmtId="0" fontId="26" fillId="34" borderId="99" xfId="56" applyFont="1" applyFill="1" applyBorder="1" applyAlignment="1" applyProtection="1">
      <alignment horizontal="center" vertical="center"/>
      <protection/>
    </xf>
    <xf numFmtId="0" fontId="2" fillId="0" borderId="83" xfId="56" applyFont="1" applyFill="1" applyBorder="1" applyAlignment="1" applyProtection="1">
      <alignment horizontal="center" vertical="center"/>
      <protection locked="0"/>
    </xf>
    <xf numFmtId="0" fontId="7" fillId="34" borderId="100" xfId="0" applyFont="1" applyFill="1" applyBorder="1" applyAlignment="1" applyProtection="1">
      <alignment horizontal="center" vertical="center"/>
      <protection locked="0"/>
    </xf>
    <xf numFmtId="0" fontId="2" fillId="0" borderId="101" xfId="56" applyFont="1" applyFill="1" applyBorder="1" applyAlignment="1">
      <alignment horizontal="center" vertical="center"/>
      <protection/>
    </xf>
    <xf numFmtId="3" fontId="2" fillId="0" borderId="38" xfId="0" applyNumberFormat="1" applyFont="1" applyBorder="1" applyAlignment="1" applyProtection="1">
      <alignment horizontal="center" vertical="center"/>
      <protection locked="0"/>
    </xf>
    <xf numFmtId="3" fontId="2" fillId="0" borderId="15" xfId="54" applyNumberFormat="1" applyFont="1" applyBorder="1" applyAlignment="1" applyProtection="1">
      <alignment horizontal="center" vertical="center"/>
      <protection locked="0"/>
    </xf>
    <xf numFmtId="3" fontId="2" fillId="0" borderId="31" xfId="54" applyNumberFormat="1" applyFont="1" applyBorder="1" applyAlignment="1" applyProtection="1">
      <alignment horizontal="center"/>
      <protection locked="0"/>
    </xf>
    <xf numFmtId="3" fontId="2" fillId="0" borderId="15" xfId="54" applyNumberFormat="1" applyFont="1" applyBorder="1" applyAlignment="1" applyProtection="1">
      <alignment horizontal="center"/>
      <protection locked="0"/>
    </xf>
    <xf numFmtId="3" fontId="2" fillId="0" borderId="15" xfId="54" applyNumberFormat="1" applyFont="1" applyBorder="1" applyAlignment="1" applyProtection="1">
      <alignment/>
      <protection locked="0"/>
    </xf>
    <xf numFmtId="3" fontId="2" fillId="0" borderId="15" xfId="0" applyNumberFormat="1" applyFont="1" applyBorder="1" applyAlignment="1" applyProtection="1">
      <alignment horizontal="center" vertical="justify"/>
      <protection locked="0"/>
    </xf>
    <xf numFmtId="3" fontId="2" fillId="0" borderId="31" xfId="0" applyNumberFormat="1" applyFont="1" applyBorder="1" applyAlignment="1" applyProtection="1">
      <alignment horizontal="center" vertical="justify"/>
      <protection locked="0"/>
    </xf>
    <xf numFmtId="3" fontId="2" fillId="0" borderId="102" xfId="54" applyNumberFormat="1" applyFont="1" applyBorder="1" applyAlignment="1" applyProtection="1">
      <alignment/>
      <protection locked="0"/>
    </xf>
    <xf numFmtId="3" fontId="2" fillId="0" borderId="17" xfId="0" applyNumberFormat="1" applyFont="1" applyBorder="1" applyAlignment="1" applyProtection="1">
      <alignment horizontal="center" vertical="justify"/>
      <protection locked="0"/>
    </xf>
    <xf numFmtId="49" fontId="2" fillId="35" borderId="48" xfId="0" applyNumberFormat="1" applyFont="1" applyFill="1" applyBorder="1" applyAlignment="1" applyProtection="1">
      <alignment horizontal="center" vertical="center"/>
      <protection locked="0"/>
    </xf>
    <xf numFmtId="49" fontId="2" fillId="0" borderId="34" xfId="0" applyNumberFormat="1" applyFont="1" applyFill="1" applyBorder="1" applyAlignment="1" applyProtection="1">
      <alignment horizontal="center" vertical="center"/>
      <protection locked="0"/>
    </xf>
    <xf numFmtId="3" fontId="2" fillId="35" borderId="34" xfId="0" applyNumberFormat="1" applyFont="1" applyFill="1" applyBorder="1" applyAlignment="1" applyProtection="1">
      <alignment horizontal="center" vertical="center"/>
      <protection locked="0"/>
    </xf>
    <xf numFmtId="49" fontId="2" fillId="0" borderId="35" xfId="0" applyNumberFormat="1" applyFont="1" applyFill="1" applyBorder="1" applyAlignment="1" applyProtection="1">
      <alignment horizontal="center" vertical="center"/>
      <protection locked="0"/>
    </xf>
    <xf numFmtId="1" fontId="63" fillId="0" borderId="36" xfId="0" applyNumberFormat="1" applyFont="1" applyBorder="1" applyAlignment="1" applyProtection="1" quotePrefix="1">
      <alignment horizontal="center" vertical="center"/>
      <protection locked="0"/>
    </xf>
    <xf numFmtId="1" fontId="63" fillId="0" borderId="37" xfId="0" applyNumberFormat="1" applyFont="1" applyBorder="1" applyAlignment="1" applyProtection="1">
      <alignment horizontal="center" vertical="center"/>
      <protection locked="0"/>
    </xf>
    <xf numFmtId="0" fontId="63" fillId="0" borderId="37" xfId="0" applyFont="1" applyBorder="1" applyAlignment="1">
      <alignment horizontal="center"/>
    </xf>
    <xf numFmtId="1" fontId="63" fillId="0" borderId="38" xfId="0" applyNumberFormat="1" applyFont="1" applyFill="1" applyBorder="1" applyAlignment="1" applyProtection="1">
      <alignment horizontal="center" vertical="center"/>
      <protection locked="0"/>
    </xf>
    <xf numFmtId="1" fontId="63" fillId="0" borderId="36" xfId="0" applyNumberFormat="1" applyFont="1" applyBorder="1" applyAlignment="1" applyProtection="1">
      <alignment horizontal="center" vertical="center"/>
      <protection locked="0"/>
    </xf>
    <xf numFmtId="1" fontId="63" fillId="0" borderId="38" xfId="0" applyNumberFormat="1" applyFont="1" applyBorder="1" applyAlignment="1" applyProtection="1">
      <alignment horizontal="center" vertical="center"/>
      <protection locked="0"/>
    </xf>
    <xf numFmtId="0" fontId="2" fillId="0" borderId="41" xfId="0" applyFont="1" applyFill="1" applyBorder="1" applyAlignment="1" applyProtection="1">
      <alignment horizontal="left" vertical="center"/>
      <protection locked="0"/>
    </xf>
    <xf numFmtId="0" fontId="2" fillId="0" borderId="61" xfId="0" applyFont="1" applyFill="1" applyBorder="1" applyAlignment="1" applyProtection="1">
      <alignment horizontal="left" vertical="center"/>
      <protection locked="0"/>
    </xf>
    <xf numFmtId="0" fontId="2" fillId="0" borderId="42" xfId="0" applyFont="1" applyFill="1" applyBorder="1" applyAlignment="1" applyProtection="1">
      <alignment horizontal="left" vertical="center"/>
      <protection locked="0"/>
    </xf>
    <xf numFmtId="0" fontId="2" fillId="0" borderId="72" xfId="0" applyFont="1" applyFill="1" applyBorder="1" applyAlignment="1" applyProtection="1">
      <alignment horizontal="center" vertical="center"/>
      <protection locked="0"/>
    </xf>
    <xf numFmtId="0" fontId="2" fillId="0" borderId="56" xfId="0" applyFont="1" applyFill="1" applyBorder="1" applyAlignment="1" applyProtection="1">
      <alignment horizontal="center" vertical="center"/>
      <protection locked="0"/>
    </xf>
    <xf numFmtId="0" fontId="2" fillId="0" borderId="36" xfId="0" applyFont="1" applyBorder="1" applyAlignment="1" applyProtection="1">
      <alignment horizontal="left" vertical="center"/>
      <protection locked="0"/>
    </xf>
    <xf numFmtId="0" fontId="2" fillId="0" borderId="67" xfId="0" applyFont="1" applyBorder="1" applyAlignment="1" applyProtection="1">
      <alignment horizontal="left" vertical="center"/>
      <protection locked="0"/>
    </xf>
    <xf numFmtId="0" fontId="2" fillId="0" borderId="47" xfId="0" applyFont="1" applyBorder="1" applyAlignment="1" applyProtection="1">
      <alignment horizontal="left" vertical="center"/>
      <protection locked="0"/>
    </xf>
    <xf numFmtId="0" fontId="2" fillId="0" borderId="68" xfId="0" applyFont="1" applyBorder="1" applyAlignment="1" applyProtection="1">
      <alignment horizontal="left" vertical="center"/>
      <protection locked="0"/>
    </xf>
    <xf numFmtId="0" fontId="2" fillId="0" borderId="37" xfId="0" applyFont="1" applyBorder="1" applyAlignment="1" applyProtection="1">
      <alignment horizontal="left" vertical="center"/>
      <protection locked="0"/>
    </xf>
    <xf numFmtId="0" fontId="2" fillId="0" borderId="98" xfId="0" applyFont="1" applyBorder="1" applyAlignment="1" applyProtection="1">
      <alignment horizontal="left" vertical="center"/>
      <protection locked="0"/>
    </xf>
    <xf numFmtId="3" fontId="2" fillId="0" borderId="103" xfId="0" applyNumberFormat="1" applyFont="1" applyBorder="1" applyAlignment="1" applyProtection="1">
      <alignment horizontal="center" vertical="center"/>
      <protection locked="0"/>
    </xf>
    <xf numFmtId="3" fontId="2" fillId="0" borderId="104" xfId="0" applyNumberFormat="1" applyFont="1" applyBorder="1" applyAlignment="1" applyProtection="1">
      <alignment horizontal="center" vertical="center"/>
      <protection locked="0"/>
    </xf>
    <xf numFmtId="0" fontId="2" fillId="0" borderId="36" xfId="0" applyFont="1" applyBorder="1" applyAlignment="1">
      <alignment horizontal="left"/>
    </xf>
    <xf numFmtId="0" fontId="2" fillId="0" borderId="37" xfId="0" applyFont="1" applyBorder="1" applyAlignment="1">
      <alignment horizontal="left"/>
    </xf>
    <xf numFmtId="0" fontId="2" fillId="0" borderId="38" xfId="0" applyFont="1" applyBorder="1" applyAlignment="1">
      <alignment horizontal="left"/>
    </xf>
    <xf numFmtId="0" fontId="2" fillId="0" borderId="41" xfId="0" applyFont="1" applyBorder="1" applyAlignment="1" applyProtection="1">
      <alignment horizontal="left" vertical="center"/>
      <protection locked="0"/>
    </xf>
    <xf numFmtId="0" fontId="2" fillId="0" borderId="61" xfId="0" applyFont="1" applyBorder="1" applyAlignment="1" applyProtection="1">
      <alignment horizontal="left" vertical="center"/>
      <protection locked="0"/>
    </xf>
    <xf numFmtId="0" fontId="2" fillId="0" borderId="69" xfId="0" applyFont="1" applyBorder="1" applyAlignment="1" applyProtection="1">
      <alignment horizontal="left" vertical="center"/>
      <protection locked="0"/>
    </xf>
    <xf numFmtId="0" fontId="2" fillId="33" borderId="49" xfId="0" applyFont="1" applyFill="1" applyBorder="1" applyAlignment="1" applyProtection="1">
      <alignment horizontal="left" vertical="center"/>
      <protection locked="0"/>
    </xf>
    <xf numFmtId="0" fontId="2" fillId="33" borderId="78" xfId="0" applyFont="1" applyFill="1" applyBorder="1" applyAlignment="1" applyProtection="1">
      <alignment horizontal="left" vertical="center"/>
      <protection locked="0"/>
    </xf>
    <xf numFmtId="0" fontId="2" fillId="0" borderId="43" xfId="0" applyFont="1" applyBorder="1" applyAlignment="1" applyProtection="1">
      <alignment horizontal="left" vertical="center"/>
      <protection locked="0"/>
    </xf>
    <xf numFmtId="0" fontId="2" fillId="0" borderId="20" xfId="0" applyFont="1" applyBorder="1" applyAlignment="1" applyProtection="1">
      <alignment horizontal="left" vertical="center"/>
      <protection locked="0"/>
    </xf>
    <xf numFmtId="0" fontId="2" fillId="0" borderId="14" xfId="0" applyFont="1" applyBorder="1" applyAlignment="1" applyProtection="1">
      <alignment horizontal="left" vertical="center"/>
      <protection locked="0"/>
    </xf>
    <xf numFmtId="0" fontId="20" fillId="0" borderId="78" xfId="0" applyFont="1" applyBorder="1" applyAlignment="1" applyProtection="1">
      <alignment horizontal="left" vertical="top"/>
      <protection locked="0"/>
    </xf>
    <xf numFmtId="1" fontId="2" fillId="0" borderId="36" xfId="0" applyNumberFormat="1" applyFont="1" applyBorder="1" applyAlignment="1" applyProtection="1">
      <alignment vertical="center"/>
      <protection locked="0"/>
    </xf>
    <xf numFmtId="1" fontId="2" fillId="0" borderId="37" xfId="0" applyNumberFormat="1" applyFont="1" applyBorder="1" applyAlignment="1" applyProtection="1">
      <alignment vertical="center"/>
      <protection locked="0"/>
    </xf>
    <xf numFmtId="0" fontId="2" fillId="33" borderId="48" xfId="0" applyFont="1" applyFill="1" applyBorder="1" applyAlignment="1">
      <alignment horizontal="left" vertical="center"/>
    </xf>
    <xf numFmtId="0" fontId="2" fillId="33" borderId="34" xfId="0" applyFont="1" applyFill="1" applyBorder="1" applyAlignment="1">
      <alignment horizontal="left" vertical="center"/>
    </xf>
    <xf numFmtId="0" fontId="2" fillId="33" borderId="34" xfId="0" applyFont="1" applyFill="1" applyBorder="1" applyAlignment="1">
      <alignment horizontal="center" vertical="center"/>
    </xf>
    <xf numFmtId="0" fontId="2" fillId="33" borderId="35" xfId="0" applyFont="1" applyFill="1" applyBorder="1" applyAlignment="1">
      <alignment horizontal="center" vertical="center"/>
    </xf>
    <xf numFmtId="0" fontId="2" fillId="0" borderId="47" xfId="0" applyFont="1" applyBorder="1" applyAlignment="1">
      <alignment horizontal="left" vertical="center"/>
    </xf>
    <xf numFmtId="0" fontId="2" fillId="0" borderId="39" xfId="0" applyFont="1" applyBorder="1" applyAlignment="1">
      <alignment horizontal="left" vertical="center"/>
    </xf>
    <xf numFmtId="0" fontId="2" fillId="33" borderId="49" xfId="0" applyFont="1" applyFill="1" applyBorder="1" applyAlignment="1" applyProtection="1">
      <alignment horizontal="left"/>
      <protection locked="0"/>
    </xf>
    <xf numFmtId="0" fontId="2" fillId="33" borderId="71" xfId="0" applyFont="1" applyFill="1" applyBorder="1" applyAlignment="1" applyProtection="1">
      <alignment horizontal="left"/>
      <protection locked="0"/>
    </xf>
    <xf numFmtId="0" fontId="2" fillId="33" borderId="48" xfId="0" applyFont="1" applyFill="1" applyBorder="1" applyAlignment="1" applyProtection="1">
      <alignment horizontal="left" vertical="center"/>
      <protection locked="0"/>
    </xf>
    <xf numFmtId="0" fontId="2" fillId="33" borderId="70" xfId="0" applyFont="1" applyFill="1" applyBorder="1" applyAlignment="1" applyProtection="1">
      <alignment horizontal="left" vertical="center"/>
      <protection locked="0"/>
    </xf>
    <xf numFmtId="0" fontId="2" fillId="34" borderId="46" xfId="0" applyFont="1" applyFill="1" applyBorder="1" applyAlignment="1" applyProtection="1">
      <alignment horizontal="left" vertical="center"/>
      <protection locked="0"/>
    </xf>
    <xf numFmtId="0" fontId="2" fillId="34" borderId="18" xfId="0" applyFont="1" applyFill="1" applyBorder="1" applyAlignment="1" applyProtection="1">
      <alignment horizontal="left" vertical="center"/>
      <protection locked="0"/>
    </xf>
    <xf numFmtId="0" fontId="2" fillId="34" borderId="22" xfId="0" applyFont="1" applyFill="1" applyBorder="1" applyAlignment="1" applyProtection="1">
      <alignment horizontal="left" vertical="center"/>
      <protection locked="0"/>
    </xf>
    <xf numFmtId="0" fontId="2" fillId="34" borderId="16" xfId="0" applyFont="1" applyFill="1" applyBorder="1" applyAlignment="1" applyProtection="1">
      <alignment horizontal="left" vertical="center"/>
      <protection locked="0"/>
    </xf>
    <xf numFmtId="0" fontId="2" fillId="34" borderId="47" xfId="0" applyFont="1" applyFill="1" applyBorder="1" applyAlignment="1" applyProtection="1">
      <alignment horizontal="left" vertical="center"/>
      <protection locked="0"/>
    </xf>
    <xf numFmtId="0" fontId="2" fillId="34" borderId="40" xfId="0" applyFont="1" applyFill="1" applyBorder="1" applyAlignment="1" applyProtection="1">
      <alignment horizontal="left" vertical="center"/>
      <protection locked="0"/>
    </xf>
    <xf numFmtId="0" fontId="2" fillId="0" borderId="76" xfId="0" applyFont="1" applyFill="1" applyBorder="1" applyAlignment="1" applyProtection="1">
      <alignment vertical="center"/>
      <protection locked="0"/>
    </xf>
    <xf numFmtId="0" fontId="2" fillId="0" borderId="30" xfId="0" applyFont="1" applyFill="1" applyBorder="1" applyAlignment="1" applyProtection="1">
      <alignment vertical="center"/>
      <protection locked="0"/>
    </xf>
    <xf numFmtId="0" fontId="2" fillId="34" borderId="41" xfId="0" applyFont="1" applyFill="1" applyBorder="1" applyAlignment="1" applyProtection="1">
      <alignment horizontal="left" vertical="center"/>
      <protection locked="0"/>
    </xf>
    <xf numFmtId="0" fontId="2" fillId="34" borderId="42" xfId="0" applyFont="1" applyFill="1" applyBorder="1" applyAlignment="1" applyProtection="1">
      <alignment horizontal="left" vertical="center"/>
      <protection locked="0"/>
    </xf>
    <xf numFmtId="0" fontId="2" fillId="34" borderId="36" xfId="0" applyFont="1" applyFill="1" applyBorder="1" applyAlignment="1" applyProtection="1">
      <alignment horizontal="left" vertical="center"/>
      <protection locked="0"/>
    </xf>
    <xf numFmtId="0" fontId="2" fillId="34" borderId="38" xfId="0" applyFont="1" applyFill="1" applyBorder="1" applyAlignment="1" applyProtection="1">
      <alignment horizontal="left" vertical="center"/>
      <protection locked="0"/>
    </xf>
    <xf numFmtId="0" fontId="2" fillId="33" borderId="33" xfId="0" applyFont="1" applyFill="1" applyBorder="1" applyAlignment="1" applyProtection="1">
      <alignment horizontal="left" vertical="center"/>
      <protection locked="0"/>
    </xf>
    <xf numFmtId="0" fontId="2" fillId="0" borderId="36" xfId="0" applyFont="1" applyBorder="1" applyAlignment="1">
      <alignment horizontal="center" vertical="center"/>
    </xf>
    <xf numFmtId="0" fontId="2" fillId="0" borderId="98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36" borderId="72" xfId="0" applyFont="1" applyFill="1" applyBorder="1" applyAlignment="1" applyProtection="1">
      <alignment horizontal="center" vertical="center"/>
      <protection locked="0"/>
    </xf>
    <xf numFmtId="0" fontId="2" fillId="36" borderId="56" xfId="0" applyFont="1" applyFill="1" applyBorder="1" applyAlignment="1" applyProtection="1">
      <alignment horizontal="center" vertical="center"/>
      <protection locked="0"/>
    </xf>
    <xf numFmtId="3" fontId="2" fillId="0" borderId="76" xfId="0" applyNumberFormat="1" applyFont="1" applyBorder="1" applyAlignment="1" applyProtection="1">
      <alignment horizontal="center" vertical="center"/>
      <protection locked="0"/>
    </xf>
    <xf numFmtId="3" fontId="2" fillId="0" borderId="30" xfId="0" applyNumberFormat="1" applyFont="1" applyBorder="1" applyAlignment="1" applyProtection="1">
      <alignment horizontal="center" vertical="center"/>
      <protection locked="0"/>
    </xf>
    <xf numFmtId="3" fontId="2" fillId="36" borderId="49" xfId="0" applyNumberFormat="1" applyFont="1" applyFill="1" applyBorder="1" applyAlignment="1" applyProtection="1">
      <alignment horizontal="center" vertical="center"/>
      <protection locked="0"/>
    </xf>
    <xf numFmtId="3" fontId="2" fillId="36" borderId="33" xfId="0" applyNumberFormat="1" applyFont="1" applyFill="1" applyBorder="1" applyAlignment="1" applyProtection="1">
      <alignment horizontal="center" vertical="center"/>
      <protection locked="0"/>
    </xf>
    <xf numFmtId="3" fontId="2" fillId="0" borderId="76" xfId="0" applyNumberFormat="1" applyFont="1" applyFill="1" applyBorder="1" applyAlignment="1" applyProtection="1">
      <alignment horizontal="center" vertical="center"/>
      <protection locked="0"/>
    </xf>
    <xf numFmtId="3" fontId="2" fillId="0" borderId="30" xfId="0" applyNumberFormat="1" applyFont="1" applyFill="1" applyBorder="1" applyAlignment="1" applyProtection="1">
      <alignment horizontal="center" vertical="center"/>
      <protection locked="0"/>
    </xf>
    <xf numFmtId="0" fontId="2" fillId="0" borderId="36" xfId="0" applyFont="1" applyFill="1" applyBorder="1" applyAlignment="1" applyProtection="1">
      <alignment horizontal="left" vertical="center"/>
      <protection locked="0"/>
    </xf>
    <xf numFmtId="0" fontId="2" fillId="0" borderId="37" xfId="0" applyFont="1" applyFill="1" applyBorder="1" applyAlignment="1" applyProtection="1">
      <alignment horizontal="left" vertical="center"/>
      <protection locked="0"/>
    </xf>
    <xf numFmtId="0" fontId="2" fillId="0" borderId="67" xfId="0" applyFont="1" applyFill="1" applyBorder="1" applyAlignment="1" applyProtection="1">
      <alignment horizontal="left" vertical="center"/>
      <protection locked="0"/>
    </xf>
    <xf numFmtId="0" fontId="2" fillId="0" borderId="65" xfId="0" applyFont="1" applyFill="1" applyBorder="1" applyAlignment="1" applyProtection="1">
      <alignment horizontal="left" vertical="center"/>
      <protection locked="0"/>
    </xf>
    <xf numFmtId="0" fontId="2" fillId="0" borderId="16" xfId="0" applyFont="1" applyFill="1" applyBorder="1" applyAlignment="1" applyProtection="1">
      <alignment horizontal="left" vertical="center"/>
      <protection locked="0"/>
    </xf>
    <xf numFmtId="0" fontId="2" fillId="0" borderId="105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0" fontId="2" fillId="0" borderId="36" xfId="0" applyFont="1" applyBorder="1" applyAlignment="1">
      <alignment horizontal="left" vertical="center"/>
    </xf>
    <xf numFmtId="0" fontId="2" fillId="0" borderId="37" xfId="0" applyFont="1" applyBorder="1" applyAlignment="1">
      <alignment horizontal="left" vertical="center"/>
    </xf>
    <xf numFmtId="1" fontId="2" fillId="0" borderId="47" xfId="0" applyNumberFormat="1" applyFont="1" applyBorder="1" applyAlignment="1" applyProtection="1">
      <alignment vertical="center"/>
      <protection locked="0"/>
    </xf>
    <xf numFmtId="1" fontId="2" fillId="0" borderId="39" xfId="0" applyNumberFormat="1" applyFont="1" applyBorder="1" applyAlignment="1" applyProtection="1">
      <alignment vertical="center"/>
      <protection locked="0"/>
    </xf>
    <xf numFmtId="0" fontId="2" fillId="0" borderId="43" xfId="0" applyFont="1" applyFill="1" applyBorder="1" applyAlignment="1" applyProtection="1">
      <alignment horizontal="left" vertical="center"/>
      <protection locked="0"/>
    </xf>
    <xf numFmtId="0" fontId="2" fillId="0" borderId="20" xfId="0" applyFont="1" applyFill="1" applyBorder="1" applyAlignment="1" applyProtection="1">
      <alignment horizontal="left" vertical="center"/>
      <protection locked="0"/>
    </xf>
    <xf numFmtId="0" fontId="2" fillId="0" borderId="14" xfId="0" applyFont="1" applyFill="1" applyBorder="1" applyAlignment="1" applyProtection="1">
      <alignment horizontal="left" vertical="center"/>
      <protection locked="0"/>
    </xf>
    <xf numFmtId="0" fontId="2" fillId="0" borderId="22" xfId="0" applyFont="1" applyBorder="1" applyAlignment="1" applyProtection="1">
      <alignment horizontal="left" vertical="center"/>
      <protection locked="0"/>
    </xf>
    <xf numFmtId="0" fontId="2" fillId="0" borderId="65" xfId="0" applyFont="1" applyBorder="1" applyAlignment="1" applyProtection="1">
      <alignment horizontal="left" vertical="center"/>
      <protection locked="0"/>
    </xf>
    <xf numFmtId="0" fontId="2" fillId="0" borderId="16" xfId="0" applyFont="1" applyBorder="1" applyAlignment="1" applyProtection="1">
      <alignment horizontal="left" vertical="center"/>
      <protection locked="0"/>
    </xf>
    <xf numFmtId="0" fontId="2" fillId="33" borderId="49" xfId="0" applyFont="1" applyFill="1" applyBorder="1" applyAlignment="1" applyProtection="1">
      <alignment horizontal="center" vertical="center"/>
      <protection locked="0"/>
    </xf>
    <xf numFmtId="0" fontId="2" fillId="33" borderId="78" xfId="0" applyFont="1" applyFill="1" applyBorder="1" applyAlignment="1" applyProtection="1">
      <alignment horizontal="center" vertical="center"/>
      <protection locked="0"/>
    </xf>
    <xf numFmtId="0" fontId="2" fillId="33" borderId="33" xfId="0" applyFont="1" applyFill="1" applyBorder="1" applyAlignment="1" applyProtection="1">
      <alignment horizontal="center" vertical="center"/>
      <protection locked="0"/>
    </xf>
    <xf numFmtId="0" fontId="2" fillId="0" borderId="105" xfId="0" applyFont="1" applyFill="1" applyBorder="1" applyAlignment="1" applyProtection="1">
      <alignment horizontal="left" vertical="center"/>
      <protection locked="0"/>
    </xf>
    <xf numFmtId="0" fontId="2" fillId="0" borderId="28" xfId="0" applyFont="1" applyFill="1" applyBorder="1" applyAlignment="1" applyProtection="1">
      <alignment horizontal="left" vertical="center"/>
      <protection locked="0"/>
    </xf>
    <xf numFmtId="0" fontId="16" fillId="0" borderId="10" xfId="47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47" xfId="0" applyFont="1" applyFill="1" applyBorder="1" applyAlignment="1" applyProtection="1">
      <alignment horizontal="left" vertical="center"/>
      <protection locked="0"/>
    </xf>
    <xf numFmtId="0" fontId="2" fillId="0" borderId="39" xfId="0" applyFont="1" applyFill="1" applyBorder="1" applyAlignment="1" applyProtection="1">
      <alignment horizontal="left" vertical="center"/>
      <protection locked="0"/>
    </xf>
    <xf numFmtId="0" fontId="2" fillId="0" borderId="40" xfId="0" applyFont="1" applyFill="1" applyBorder="1" applyAlignment="1" applyProtection="1">
      <alignment horizontal="left" vertical="center"/>
      <protection locked="0"/>
    </xf>
    <xf numFmtId="0" fontId="2" fillId="0" borderId="46" xfId="0" applyFont="1" applyBorder="1" applyAlignment="1" applyProtection="1">
      <alignment horizontal="left" vertical="center"/>
      <protection locked="0"/>
    </xf>
    <xf numFmtId="0" fontId="2" fillId="0" borderId="66" xfId="0" applyFont="1" applyBorder="1" applyAlignment="1" applyProtection="1">
      <alignment horizontal="left" vertical="center"/>
      <protection locked="0"/>
    </xf>
    <xf numFmtId="0" fontId="2" fillId="0" borderId="18" xfId="0" applyFont="1" applyBorder="1" applyAlignment="1" applyProtection="1">
      <alignment horizontal="left" vertical="center"/>
      <protection locked="0"/>
    </xf>
    <xf numFmtId="0" fontId="3" fillId="0" borderId="24" xfId="0" applyFont="1" applyBorder="1" applyAlignment="1" applyProtection="1">
      <alignment horizontal="center"/>
      <protection locked="0"/>
    </xf>
    <xf numFmtId="0" fontId="4" fillId="0" borderId="25" xfId="0" applyFont="1" applyBorder="1" applyAlignment="1" applyProtection="1">
      <alignment/>
      <protection locked="0"/>
    </xf>
    <xf numFmtId="0" fontId="4" fillId="0" borderId="26" xfId="0" applyFont="1" applyBorder="1" applyAlignment="1" applyProtection="1">
      <alignment/>
      <protection locked="0"/>
    </xf>
    <xf numFmtId="0" fontId="4" fillId="0" borderId="1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4" fillId="0" borderId="11" xfId="0" applyFont="1" applyBorder="1" applyAlignment="1" applyProtection="1">
      <alignment/>
      <protection locked="0"/>
    </xf>
    <xf numFmtId="0" fontId="2" fillId="0" borderId="10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/>
      <protection locked="0"/>
    </xf>
    <xf numFmtId="0" fontId="2" fillId="0" borderId="11" xfId="0" applyFont="1" applyBorder="1" applyAlignment="1" applyProtection="1">
      <alignment/>
      <protection locked="0"/>
    </xf>
    <xf numFmtId="0" fontId="2" fillId="34" borderId="43" xfId="0" applyFont="1" applyFill="1" applyBorder="1" applyAlignment="1" applyProtection="1">
      <alignment horizontal="left" vertical="center"/>
      <protection locked="0"/>
    </xf>
    <xf numFmtId="0" fontId="2" fillId="34" borderId="14" xfId="0" applyFont="1" applyFill="1" applyBorder="1" applyAlignment="1" applyProtection="1">
      <alignment horizontal="left" vertical="center"/>
      <protection locked="0"/>
    </xf>
    <xf numFmtId="0" fontId="2" fillId="0" borderId="19" xfId="0" applyFont="1" applyFill="1" applyBorder="1" applyAlignment="1" applyProtection="1">
      <alignment horizontal="left" vertical="center"/>
      <protection locked="0"/>
    </xf>
    <xf numFmtId="0" fontId="2" fillId="0" borderId="22" xfId="0" applyFont="1" applyFill="1" applyBorder="1" applyAlignment="1" applyProtection="1">
      <alignment horizontal="left" vertical="center"/>
      <protection locked="0"/>
    </xf>
    <xf numFmtId="0" fontId="2" fillId="0" borderId="68" xfId="0" applyFont="1" applyFill="1" applyBorder="1" applyAlignment="1" applyProtection="1">
      <alignment horizontal="left" vertical="center"/>
      <protection locked="0"/>
    </xf>
    <xf numFmtId="0" fontId="6" fillId="0" borderId="0" xfId="0" applyFont="1" applyBorder="1" applyAlignment="1" applyProtection="1">
      <alignment horizontal="left" vertical="top"/>
      <protection locked="0"/>
    </xf>
    <xf numFmtId="0" fontId="2" fillId="34" borderId="46" xfId="0" applyFont="1" applyFill="1" applyBorder="1" applyAlignment="1" applyProtection="1">
      <alignment horizontal="left"/>
      <protection locked="0"/>
    </xf>
    <xf numFmtId="0" fontId="2" fillId="34" borderId="66" xfId="0" applyFont="1" applyFill="1" applyBorder="1" applyAlignment="1" applyProtection="1">
      <alignment horizontal="left"/>
      <protection locked="0"/>
    </xf>
    <xf numFmtId="0" fontId="2" fillId="34" borderId="22" xfId="0" applyFont="1" applyFill="1" applyBorder="1" applyAlignment="1" applyProtection="1">
      <alignment horizontal="left"/>
      <protection locked="0"/>
    </xf>
    <xf numFmtId="0" fontId="2" fillId="34" borderId="65" xfId="0" applyFont="1" applyFill="1" applyBorder="1" applyAlignment="1" applyProtection="1">
      <alignment horizontal="left"/>
      <protection locked="0"/>
    </xf>
    <xf numFmtId="0" fontId="2" fillId="34" borderId="16" xfId="0" applyFont="1" applyFill="1" applyBorder="1" applyAlignment="1" applyProtection="1">
      <alignment horizontal="left"/>
      <protection locked="0"/>
    </xf>
    <xf numFmtId="0" fontId="2" fillId="34" borderId="43" xfId="0" applyFont="1" applyFill="1" applyBorder="1" applyAlignment="1" applyProtection="1">
      <alignment horizontal="left"/>
      <protection locked="0"/>
    </xf>
    <xf numFmtId="0" fontId="2" fillId="34" borderId="20" xfId="0" applyFont="1" applyFill="1" applyBorder="1" applyAlignment="1" applyProtection="1">
      <alignment horizontal="left"/>
      <protection locked="0"/>
    </xf>
    <xf numFmtId="0" fontId="2" fillId="34" borderId="18" xfId="0" applyFont="1" applyFill="1" applyBorder="1" applyAlignment="1" applyProtection="1">
      <alignment horizontal="left"/>
      <protection locked="0"/>
    </xf>
    <xf numFmtId="0" fontId="21" fillId="0" borderId="0" xfId="0" applyFont="1" applyFill="1" applyBorder="1" applyAlignment="1" applyProtection="1">
      <alignment horizontal="left"/>
      <protection locked="0"/>
    </xf>
    <xf numFmtId="0" fontId="15" fillId="0" borderId="0" xfId="0" applyFont="1" applyBorder="1" applyAlignment="1">
      <alignment horizontal="center" textRotation="90"/>
    </xf>
    <xf numFmtId="0" fontId="21" fillId="0" borderId="72" xfId="0" applyFont="1" applyFill="1" applyBorder="1" applyAlignment="1" applyProtection="1">
      <alignment horizontal="left"/>
      <protection locked="0"/>
    </xf>
    <xf numFmtId="0" fontId="21" fillId="0" borderId="27" xfId="0" applyFont="1" applyFill="1" applyBorder="1" applyAlignment="1" applyProtection="1">
      <alignment horizontal="left"/>
      <protection locked="0"/>
    </xf>
    <xf numFmtId="0" fontId="15" fillId="0" borderId="0" xfId="0" applyFont="1" applyBorder="1" applyAlignment="1" applyProtection="1">
      <alignment horizontal="center" textRotation="90" wrapText="1"/>
      <protection locked="0"/>
    </xf>
    <xf numFmtId="0" fontId="23" fillId="0" borderId="0" xfId="0" applyFont="1" applyBorder="1" applyAlignment="1" applyProtection="1">
      <alignment horizontal="center" textRotation="90" wrapText="1"/>
      <protection locked="0"/>
    </xf>
    <xf numFmtId="0" fontId="21" fillId="0" borderId="0" xfId="0" applyFont="1" applyFill="1" applyBorder="1" applyAlignment="1" applyProtection="1">
      <alignment horizontal="left" shrinkToFit="1"/>
      <protection locked="0"/>
    </xf>
    <xf numFmtId="0" fontId="2" fillId="0" borderId="0" xfId="0" applyFont="1" applyBorder="1" applyAlignment="1" applyProtection="1">
      <alignment horizontal="left"/>
      <protection locked="0"/>
    </xf>
    <xf numFmtId="0" fontId="5" fillId="0" borderId="25" xfId="0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16" fillId="0" borderId="103" xfId="47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6" fillId="0" borderId="49" xfId="0" applyFont="1" applyBorder="1" applyAlignment="1" applyProtection="1">
      <alignment horizontal="center"/>
      <protection locked="0"/>
    </xf>
    <xf numFmtId="0" fontId="6" fillId="0" borderId="78" xfId="0" applyFont="1" applyBorder="1" applyAlignment="1" applyProtection="1">
      <alignment horizontal="center"/>
      <protection locked="0"/>
    </xf>
    <xf numFmtId="0" fontId="6" fillId="0" borderId="33" xfId="0" applyFont="1" applyBorder="1" applyAlignment="1" applyProtection="1">
      <alignment horizontal="center"/>
      <protection locked="0"/>
    </xf>
    <xf numFmtId="0" fontId="2" fillId="34" borderId="14" xfId="0" applyFont="1" applyFill="1" applyBorder="1" applyAlignment="1" applyProtection="1">
      <alignment horizontal="left"/>
      <protection locked="0"/>
    </xf>
    <xf numFmtId="0" fontId="17" fillId="0" borderId="10" xfId="0" applyFont="1" applyBorder="1" applyAlignment="1" applyProtection="1">
      <alignment horizontal="center"/>
      <protection locked="0"/>
    </xf>
    <xf numFmtId="0" fontId="17" fillId="0" borderId="0" xfId="0" applyFont="1" applyBorder="1" applyAlignment="1" applyProtection="1">
      <alignment horizontal="center"/>
      <protection locked="0"/>
    </xf>
    <xf numFmtId="0" fontId="17" fillId="0" borderId="11" xfId="0" applyFont="1" applyBorder="1" applyAlignment="1" applyProtection="1">
      <alignment horizontal="center"/>
      <protection locked="0"/>
    </xf>
    <xf numFmtId="0" fontId="18" fillId="0" borderId="10" xfId="0" applyFont="1" applyBorder="1" applyAlignment="1" applyProtection="1">
      <alignment horizontal="center"/>
      <protection locked="0"/>
    </xf>
    <xf numFmtId="0" fontId="18" fillId="0" borderId="0" xfId="0" applyFont="1" applyBorder="1" applyAlignment="1" applyProtection="1">
      <alignment horizontal="center"/>
      <protection locked="0"/>
    </xf>
    <xf numFmtId="0" fontId="18" fillId="0" borderId="11" xfId="0" applyFont="1" applyBorder="1" applyAlignment="1" applyProtection="1">
      <alignment horizontal="center"/>
      <protection locked="0"/>
    </xf>
    <xf numFmtId="0" fontId="2" fillId="0" borderId="22" xfId="54" applyFont="1" applyBorder="1" applyAlignment="1" applyProtection="1">
      <alignment horizontal="left"/>
      <protection locked="0"/>
    </xf>
    <xf numFmtId="0" fontId="2" fillId="0" borderId="65" xfId="54" applyFont="1" applyBorder="1" applyAlignment="1" applyProtection="1">
      <alignment horizontal="left"/>
      <protection locked="0"/>
    </xf>
    <xf numFmtId="0" fontId="2" fillId="0" borderId="20" xfId="54" applyFont="1" applyBorder="1" applyAlignment="1" applyProtection="1">
      <alignment horizontal="left"/>
      <protection locked="0"/>
    </xf>
    <xf numFmtId="0" fontId="2" fillId="0" borderId="22" xfId="54" applyFont="1" applyBorder="1" applyAlignment="1" applyProtection="1">
      <alignment horizontal="left" vertical="center"/>
      <protection locked="0"/>
    </xf>
    <xf numFmtId="0" fontId="2" fillId="0" borderId="65" xfId="54" applyFont="1" applyBorder="1" applyAlignment="1" applyProtection="1">
      <alignment horizontal="left" vertical="center"/>
      <protection locked="0"/>
    </xf>
    <xf numFmtId="0" fontId="2" fillId="0" borderId="79" xfId="54" applyFont="1" applyBorder="1" applyAlignment="1" applyProtection="1">
      <alignment horizontal="left" vertical="center"/>
      <protection locked="0"/>
    </xf>
    <xf numFmtId="0" fontId="2" fillId="0" borderId="25" xfId="54" applyFont="1" applyBorder="1" applyAlignment="1" applyProtection="1">
      <alignment horizontal="left" vertical="center"/>
      <protection locked="0"/>
    </xf>
    <xf numFmtId="49" fontId="15" fillId="0" borderId="0" xfId="0" applyNumberFormat="1" applyFont="1" applyBorder="1" applyAlignment="1" applyProtection="1">
      <alignment horizontal="left" vertical="justify"/>
      <protection locked="0"/>
    </xf>
    <xf numFmtId="49" fontId="7" fillId="0" borderId="72" xfId="0" applyNumberFormat="1" applyFont="1" applyBorder="1" applyAlignment="1" applyProtection="1">
      <alignment horizontal="right" vertical="center"/>
      <protection locked="0"/>
    </xf>
    <xf numFmtId="49" fontId="7" fillId="0" borderId="56" xfId="0" applyNumberFormat="1" applyFont="1" applyBorder="1" applyAlignment="1" applyProtection="1">
      <alignment horizontal="right" vertical="center"/>
      <protection locked="0"/>
    </xf>
    <xf numFmtId="49" fontId="7" fillId="0" borderId="49" xfId="0" applyNumberFormat="1" applyFont="1" applyBorder="1" applyAlignment="1" applyProtection="1">
      <alignment horizontal="right" vertical="center"/>
      <protection locked="0"/>
    </xf>
    <xf numFmtId="49" fontId="7" fillId="0" borderId="33" xfId="0" applyNumberFormat="1" applyFont="1" applyBorder="1" applyAlignment="1" applyProtection="1">
      <alignment horizontal="right" vertical="center"/>
      <protection locked="0"/>
    </xf>
    <xf numFmtId="0" fontId="16" fillId="0" borderId="0" xfId="47" applyFont="1" applyBorder="1" applyAlignment="1" applyProtection="1">
      <alignment horizontal="center"/>
      <protection/>
    </xf>
    <xf numFmtId="49" fontId="2" fillId="0" borderId="47" xfId="56" applyNumberFormat="1" applyFont="1" applyFill="1" applyBorder="1" applyAlignment="1" applyProtection="1">
      <alignment horizontal="center"/>
      <protection locked="0"/>
    </xf>
    <xf numFmtId="49" fontId="2" fillId="0" borderId="39" xfId="56" applyNumberFormat="1" applyFont="1" applyFill="1" applyBorder="1" applyAlignment="1" applyProtection="1">
      <alignment horizontal="center"/>
      <protection locked="0"/>
    </xf>
    <xf numFmtId="49" fontId="2" fillId="0" borderId="36" xfId="56" applyNumberFormat="1" applyFont="1" applyFill="1" applyBorder="1" applyAlignment="1" applyProtection="1">
      <alignment horizontal="center"/>
      <protection locked="0"/>
    </xf>
    <xf numFmtId="49" fontId="2" fillId="0" borderId="37" xfId="56" applyNumberFormat="1" applyFont="1" applyFill="1" applyBorder="1" applyAlignment="1" applyProtection="1">
      <alignment horizontal="center"/>
      <protection locked="0"/>
    </xf>
    <xf numFmtId="0" fontId="9" fillId="0" borderId="0" xfId="56" applyFont="1" applyBorder="1" applyAlignment="1">
      <alignment horizontal="center"/>
      <protection/>
    </xf>
    <xf numFmtId="0" fontId="2" fillId="0" borderId="77" xfId="56" applyFont="1" applyFill="1" applyBorder="1" applyAlignment="1">
      <alignment horizontal="center"/>
      <protection/>
    </xf>
    <xf numFmtId="0" fontId="2" fillId="0" borderId="37" xfId="56" applyFont="1" applyFill="1" applyBorder="1" applyAlignment="1" applyProtection="1">
      <alignment horizontal="center"/>
      <protection locked="0"/>
    </xf>
    <xf numFmtId="0" fontId="2" fillId="0" borderId="39" xfId="56" applyFont="1" applyFill="1" applyBorder="1" applyAlignment="1" applyProtection="1">
      <alignment horizontal="center"/>
      <protection locked="0"/>
    </xf>
    <xf numFmtId="0" fontId="2" fillId="0" borderId="28" xfId="56" applyFont="1" applyFill="1" applyBorder="1" applyAlignment="1">
      <alignment horizontal="center"/>
      <protection/>
    </xf>
    <xf numFmtId="0" fontId="2" fillId="0" borderId="105" xfId="56" applyFont="1" applyFill="1" applyBorder="1" applyAlignment="1">
      <alignment horizontal="center"/>
      <protection/>
    </xf>
    <xf numFmtId="0" fontId="14" fillId="0" borderId="0" xfId="56" applyFont="1" applyFill="1" applyBorder="1" applyAlignment="1">
      <alignment horizontal="center"/>
      <protection/>
    </xf>
    <xf numFmtId="0" fontId="7" fillId="34" borderId="106" xfId="56" applyFont="1" applyFill="1" applyBorder="1" applyAlignment="1">
      <alignment horizontal="center" vertical="top" wrapText="1"/>
      <protection/>
    </xf>
    <xf numFmtId="0" fontId="7" fillId="34" borderId="107" xfId="56" applyFont="1" applyFill="1" applyBorder="1" applyAlignment="1">
      <alignment horizontal="center" vertical="top" wrapText="1"/>
      <protection/>
    </xf>
    <xf numFmtId="0" fontId="7" fillId="34" borderId="108" xfId="56" applyFont="1" applyFill="1" applyBorder="1" applyAlignment="1">
      <alignment horizontal="center" vertical="top" wrapText="1"/>
      <protection/>
    </xf>
    <xf numFmtId="0" fontId="7" fillId="34" borderId="109" xfId="56" applyFont="1" applyFill="1" applyBorder="1" applyAlignment="1">
      <alignment horizontal="center" vertical="top" wrapText="1"/>
      <protection/>
    </xf>
    <xf numFmtId="0" fontId="12" fillId="0" borderId="0" xfId="56" applyFont="1" applyFill="1" applyBorder="1" applyAlignment="1">
      <alignment horizontal="center"/>
      <protection/>
    </xf>
    <xf numFmtId="0" fontId="2" fillId="0" borderId="27" xfId="56" applyFont="1" applyFill="1" applyBorder="1" applyAlignment="1">
      <alignment horizontal="left"/>
      <protection/>
    </xf>
    <xf numFmtId="0" fontId="7" fillId="34" borderId="110" xfId="56" applyFont="1" applyFill="1" applyBorder="1" applyAlignment="1">
      <alignment horizontal="center" vertical="top" wrapText="1"/>
      <protection/>
    </xf>
    <xf numFmtId="0" fontId="7" fillId="34" borderId="111" xfId="56" applyFont="1" applyFill="1" applyBorder="1" applyAlignment="1">
      <alignment horizontal="center" vertical="top" wrapText="1"/>
      <protection/>
    </xf>
    <xf numFmtId="0" fontId="9" fillId="0" borderId="37" xfId="55" applyBorder="1" applyAlignment="1" applyProtection="1">
      <alignment horizontal="center" vertical="center"/>
      <protection locked="0"/>
    </xf>
    <xf numFmtId="0" fontId="9" fillId="0" borderId="38" xfId="55" applyBorder="1" applyAlignment="1" applyProtection="1">
      <alignment horizontal="center" vertical="center"/>
      <protection locked="0"/>
    </xf>
    <xf numFmtId="0" fontId="9" fillId="0" borderId="98" xfId="55" applyBorder="1" applyAlignment="1" applyProtection="1">
      <alignment horizontal="center" vertical="center"/>
      <protection locked="0"/>
    </xf>
    <xf numFmtId="0" fontId="9" fillId="0" borderId="45" xfId="55" applyBorder="1" applyAlignment="1" applyProtection="1">
      <alignment horizontal="center" vertical="center"/>
      <protection locked="0"/>
    </xf>
    <xf numFmtId="0" fontId="9" fillId="0" borderId="41" xfId="55" applyBorder="1" applyAlignment="1" applyProtection="1">
      <alignment horizontal="center" vertical="center"/>
      <protection locked="0"/>
    </xf>
    <xf numFmtId="0" fontId="9" fillId="0" borderId="73" xfId="55" applyBorder="1" applyAlignment="1" applyProtection="1">
      <alignment horizontal="center" vertical="center"/>
      <protection locked="0"/>
    </xf>
    <xf numFmtId="0" fontId="9" fillId="0" borderId="61" xfId="55" applyBorder="1" applyAlignment="1" applyProtection="1">
      <alignment horizontal="center" vertical="center"/>
      <protection locked="0"/>
    </xf>
    <xf numFmtId="0" fontId="25" fillId="34" borderId="48" xfId="55" applyFont="1" applyFill="1" applyBorder="1" applyAlignment="1" applyProtection="1">
      <alignment horizontal="center" vertical="center"/>
      <protection/>
    </xf>
    <xf numFmtId="0" fontId="25" fillId="34" borderId="34" xfId="55" applyFont="1" applyFill="1" applyBorder="1" applyAlignment="1" applyProtection="1">
      <alignment horizontal="center" vertical="center"/>
      <protection/>
    </xf>
    <xf numFmtId="0" fontId="25" fillId="34" borderId="70" xfId="55" applyFont="1" applyFill="1" applyBorder="1" applyAlignment="1" applyProtection="1">
      <alignment horizontal="center" vertical="center"/>
      <protection/>
    </xf>
    <xf numFmtId="0" fontId="25" fillId="34" borderId="62" xfId="55" applyFont="1" applyFill="1" applyBorder="1" applyAlignment="1" applyProtection="1">
      <alignment horizontal="center" vertical="center"/>
      <protection/>
    </xf>
    <xf numFmtId="0" fontId="25" fillId="34" borderId="112" xfId="55" applyFont="1" applyFill="1" applyBorder="1" applyAlignment="1" applyProtection="1">
      <alignment horizontal="center" vertical="center"/>
      <protection/>
    </xf>
    <xf numFmtId="0" fontId="25" fillId="34" borderId="63" xfId="55" applyFont="1" applyFill="1" applyBorder="1" applyAlignment="1" applyProtection="1">
      <alignment horizontal="center" vertical="center"/>
      <protection/>
    </xf>
    <xf numFmtId="0" fontId="25" fillId="34" borderId="64" xfId="55" applyFont="1" applyFill="1" applyBorder="1" applyAlignment="1" applyProtection="1">
      <alignment horizontal="center" vertical="center"/>
      <protection/>
    </xf>
    <xf numFmtId="0" fontId="9" fillId="0" borderId="36" xfId="55" applyBorder="1" applyAlignment="1" applyProtection="1">
      <alignment horizontal="center" vertical="center"/>
      <protection locked="0"/>
    </xf>
    <xf numFmtId="0" fontId="9" fillId="0" borderId="74" xfId="55" applyBorder="1" applyAlignment="1" applyProtection="1">
      <alignment horizontal="center" vertical="center"/>
      <protection locked="0"/>
    </xf>
    <xf numFmtId="0" fontId="9" fillId="0" borderId="44" xfId="55" applyBorder="1" applyAlignment="1" applyProtection="1">
      <alignment horizontal="center" vertical="center"/>
      <protection locked="0"/>
    </xf>
    <xf numFmtId="0" fontId="9" fillId="0" borderId="26" xfId="55" applyBorder="1" applyAlignment="1" applyProtection="1">
      <alignment horizontal="center" vertical="center"/>
      <protection locked="0"/>
    </xf>
    <xf numFmtId="0" fontId="9" fillId="0" borderId="42" xfId="55" applyBorder="1" applyAlignment="1" applyProtection="1">
      <alignment horizontal="center" vertical="center"/>
      <protection locked="0"/>
    </xf>
    <xf numFmtId="0" fontId="9" fillId="0" borderId="37" xfId="55" applyFont="1" applyBorder="1" applyAlignment="1" applyProtection="1">
      <alignment horizontal="right" vertical="center"/>
      <protection/>
    </xf>
    <xf numFmtId="0" fontId="9" fillId="0" borderId="37" xfId="55" applyBorder="1" applyAlignment="1" applyProtection="1">
      <alignment horizontal="right" vertical="center"/>
      <protection/>
    </xf>
    <xf numFmtId="0" fontId="9" fillId="0" borderId="38" xfId="55" applyBorder="1" applyAlignment="1" applyProtection="1">
      <alignment horizontal="right" vertical="center"/>
      <protection/>
    </xf>
    <xf numFmtId="0" fontId="9" fillId="0" borderId="36" xfId="55" applyBorder="1" applyAlignment="1" applyProtection="1">
      <alignment horizontal="center"/>
      <protection locked="0"/>
    </xf>
    <xf numFmtId="0" fontId="9" fillId="0" borderId="37" xfId="55" applyBorder="1" applyAlignment="1" applyProtection="1">
      <alignment horizontal="center"/>
      <protection locked="0"/>
    </xf>
    <xf numFmtId="0" fontId="9" fillId="0" borderId="10" xfId="55" applyFont="1" applyBorder="1" applyAlignment="1" applyProtection="1">
      <alignment horizontal="center"/>
      <protection/>
    </xf>
    <xf numFmtId="0" fontId="9" fillId="0" borderId="0" xfId="55" applyBorder="1" applyAlignment="1" applyProtection="1">
      <alignment horizontal="center"/>
      <protection/>
    </xf>
    <xf numFmtId="0" fontId="9" fillId="0" borderId="11" xfId="55" applyBorder="1" applyAlignment="1" applyProtection="1">
      <alignment horizontal="center"/>
      <protection/>
    </xf>
    <xf numFmtId="0" fontId="9" fillId="0" borderId="75" xfId="55" applyFont="1" applyBorder="1" applyAlignment="1" applyProtection="1">
      <alignment horizontal="center"/>
      <protection locked="0"/>
    </xf>
    <xf numFmtId="0" fontId="9" fillId="0" borderId="39" xfId="55" applyFont="1" applyBorder="1" applyAlignment="1" applyProtection="1">
      <alignment horizontal="center"/>
      <protection locked="0"/>
    </xf>
    <xf numFmtId="0" fontId="9" fillId="0" borderId="40" xfId="55" applyFont="1" applyBorder="1" applyAlignment="1" applyProtection="1">
      <alignment horizontal="center"/>
      <protection locked="0"/>
    </xf>
    <xf numFmtId="0" fontId="9" fillId="0" borderId="74" xfId="55" applyBorder="1" applyAlignment="1" applyProtection="1">
      <alignment horizontal="center"/>
      <protection locked="0"/>
    </xf>
    <xf numFmtId="0" fontId="9" fillId="0" borderId="38" xfId="55" applyBorder="1" applyAlignment="1" applyProtection="1">
      <alignment horizontal="center"/>
      <protection locked="0"/>
    </xf>
    <xf numFmtId="0" fontId="9" fillId="0" borderId="47" xfId="55" applyBorder="1" applyAlignment="1" applyProtection="1">
      <alignment horizontal="center"/>
      <protection locked="0"/>
    </xf>
    <xf numFmtId="0" fontId="9" fillId="0" borderId="39" xfId="55" applyBorder="1" applyAlignment="1" applyProtection="1">
      <alignment horizontal="center"/>
      <protection locked="0"/>
    </xf>
    <xf numFmtId="0" fontId="9" fillId="0" borderId="46" xfId="55" applyFont="1" applyBorder="1" applyAlignment="1" applyProtection="1">
      <alignment horizontal="center" vertical="center"/>
      <protection/>
    </xf>
    <xf numFmtId="0" fontId="9" fillId="0" borderId="75" xfId="55" applyFont="1" applyBorder="1" applyAlignment="1" applyProtection="1">
      <alignment horizontal="center" vertical="center"/>
      <protection/>
    </xf>
    <xf numFmtId="0" fontId="25" fillId="0" borderId="28" xfId="55" applyFont="1" applyBorder="1" applyAlignment="1" applyProtection="1">
      <alignment horizontal="center"/>
      <protection locked="0"/>
    </xf>
    <xf numFmtId="0" fontId="9" fillId="0" borderId="28" xfId="55" applyBorder="1" applyAlignment="1" applyProtection="1">
      <alignment horizontal="center"/>
      <protection locked="0"/>
    </xf>
    <xf numFmtId="0" fontId="9" fillId="33" borderId="49" xfId="55" applyFill="1" applyBorder="1" applyAlignment="1" applyProtection="1">
      <alignment horizontal="center"/>
      <protection/>
    </xf>
    <xf numFmtId="0" fontId="9" fillId="33" borderId="78" xfId="55" applyFill="1" applyBorder="1" applyAlignment="1" applyProtection="1">
      <alignment horizontal="center"/>
      <protection/>
    </xf>
    <xf numFmtId="0" fontId="9" fillId="33" borderId="33" xfId="55" applyFill="1" applyBorder="1" applyAlignment="1" applyProtection="1">
      <alignment horizontal="center"/>
      <protection/>
    </xf>
    <xf numFmtId="0" fontId="9" fillId="0" borderId="39" xfId="55" applyFont="1" applyBorder="1" applyAlignment="1" applyProtection="1">
      <alignment horizontal="right" vertical="center"/>
      <protection/>
    </xf>
    <xf numFmtId="0" fontId="9" fillId="0" borderId="39" xfId="55" applyBorder="1" applyAlignment="1" applyProtection="1">
      <alignment horizontal="right" vertical="center"/>
      <protection/>
    </xf>
    <xf numFmtId="0" fontId="9" fillId="0" borderId="40" xfId="55" applyBorder="1" applyAlignment="1" applyProtection="1">
      <alignment horizontal="right" vertical="center"/>
      <protection/>
    </xf>
    <xf numFmtId="0" fontId="9" fillId="0" borderId="105" xfId="55" applyBorder="1" applyAlignment="1" applyProtection="1">
      <alignment horizontal="center"/>
      <protection locked="0"/>
    </xf>
    <xf numFmtId="0" fontId="9" fillId="0" borderId="61" xfId="55" applyFont="1" applyBorder="1" applyAlignment="1" applyProtection="1">
      <alignment horizontal="right" vertical="center"/>
      <protection/>
    </xf>
    <xf numFmtId="0" fontId="9" fillId="0" borderId="61" xfId="55" applyBorder="1" applyAlignment="1" applyProtection="1">
      <alignment horizontal="right" vertical="center"/>
      <protection/>
    </xf>
    <xf numFmtId="0" fontId="9" fillId="0" borderId="42" xfId="55" applyBorder="1" applyAlignment="1" applyProtection="1">
      <alignment horizontal="right" vertical="center"/>
      <protection/>
    </xf>
    <xf numFmtId="0" fontId="9" fillId="0" borderId="37" xfId="55" applyFont="1" applyBorder="1" applyAlignment="1" applyProtection="1">
      <alignment horizontal="left"/>
      <protection/>
    </xf>
    <xf numFmtId="0" fontId="9" fillId="0" borderId="43" xfId="55" applyFont="1" applyBorder="1" applyAlignment="1" applyProtection="1">
      <alignment horizontal="center" vertical="center"/>
      <protection/>
    </xf>
    <xf numFmtId="0" fontId="9" fillId="0" borderId="73" xfId="55" applyFont="1" applyBorder="1" applyAlignment="1" applyProtection="1">
      <alignment horizontal="center" vertical="center"/>
      <protection/>
    </xf>
    <xf numFmtId="0" fontId="9" fillId="0" borderId="22" xfId="55" applyFont="1" applyBorder="1" applyAlignment="1" applyProtection="1">
      <alignment horizontal="center" vertical="center"/>
      <protection/>
    </xf>
    <xf numFmtId="0" fontId="9" fillId="0" borderId="74" xfId="55" applyFont="1" applyBorder="1" applyAlignment="1" applyProtection="1">
      <alignment horizontal="center" vertical="center"/>
      <protection/>
    </xf>
    <xf numFmtId="0" fontId="9" fillId="0" borderId="41" xfId="55" applyBorder="1" applyAlignment="1" applyProtection="1">
      <alignment horizontal="center"/>
      <protection locked="0"/>
    </xf>
    <xf numFmtId="0" fontId="9" fillId="0" borderId="61" xfId="55" applyBorder="1" applyAlignment="1" applyProtection="1">
      <alignment horizontal="center"/>
      <protection locked="0"/>
    </xf>
    <xf numFmtId="0" fontId="9" fillId="33" borderId="49" xfId="55" applyFont="1" applyFill="1" applyBorder="1" applyAlignment="1" applyProtection="1">
      <alignment horizontal="center"/>
      <protection locked="0"/>
    </xf>
    <xf numFmtId="0" fontId="9" fillId="33" borderId="78" xfId="55" applyFill="1" applyBorder="1" applyAlignment="1" applyProtection="1">
      <alignment horizontal="center"/>
      <protection locked="0"/>
    </xf>
    <xf numFmtId="0" fontId="9" fillId="33" borderId="33" xfId="55" applyFill="1" applyBorder="1" applyAlignment="1" applyProtection="1">
      <alignment horizontal="center"/>
      <protection locked="0"/>
    </xf>
    <xf numFmtId="0" fontId="9" fillId="0" borderId="103" xfId="55" applyFont="1" applyBorder="1" applyAlignment="1" applyProtection="1">
      <alignment horizontal="center" vertical="center" textRotation="90"/>
      <protection locked="0"/>
    </xf>
    <xf numFmtId="0" fontId="9" fillId="0" borderId="103" xfId="55" applyBorder="1" applyAlignment="1" applyProtection="1">
      <alignment horizontal="center" vertical="center" textRotation="90"/>
      <protection locked="0"/>
    </xf>
    <xf numFmtId="0" fontId="9" fillId="0" borderId="73" xfId="55" applyBorder="1" applyAlignment="1" applyProtection="1">
      <alignment horizontal="center"/>
      <protection locked="0"/>
    </xf>
    <xf numFmtId="0" fontId="9" fillId="0" borderId="42" xfId="55" applyBorder="1" applyAlignment="1" applyProtection="1">
      <alignment horizontal="center"/>
      <protection locked="0"/>
    </xf>
    <xf numFmtId="1" fontId="9" fillId="0" borderId="47" xfId="55" applyNumberFormat="1" applyBorder="1" applyAlignment="1" applyProtection="1">
      <alignment horizontal="center"/>
      <protection locked="0"/>
    </xf>
    <xf numFmtId="1" fontId="9" fillId="0" borderId="39" xfId="55" applyNumberFormat="1" applyBorder="1" applyAlignment="1" applyProtection="1">
      <alignment horizontal="center"/>
      <protection locked="0"/>
    </xf>
    <xf numFmtId="1" fontId="9" fillId="0" borderId="40" xfId="55" applyNumberFormat="1" applyBorder="1" applyAlignment="1" applyProtection="1">
      <alignment horizontal="center"/>
      <protection locked="0"/>
    </xf>
    <xf numFmtId="0" fontId="9" fillId="0" borderId="0" xfId="55" applyFont="1" applyBorder="1" applyAlignment="1" applyProtection="1">
      <alignment horizontal="right"/>
      <protection locked="0"/>
    </xf>
    <xf numFmtId="0" fontId="9" fillId="0" borderId="0" xfId="55" applyBorder="1" applyAlignment="1" applyProtection="1">
      <alignment horizontal="right"/>
      <protection locked="0"/>
    </xf>
    <xf numFmtId="0" fontId="9" fillId="0" borderId="40" xfId="55" applyBorder="1" applyAlignment="1" applyProtection="1">
      <alignment horizontal="center"/>
      <protection locked="0"/>
    </xf>
    <xf numFmtId="0" fontId="25" fillId="34" borderId="71" xfId="55" applyFont="1" applyFill="1" applyBorder="1" applyAlignment="1" applyProtection="1">
      <alignment horizontal="center" vertical="center"/>
      <protection/>
    </xf>
    <xf numFmtId="0" fontId="25" fillId="34" borderId="35" xfId="55" applyFont="1" applyFill="1" applyBorder="1" applyAlignment="1" applyProtection="1">
      <alignment horizontal="center" vertical="center"/>
      <protection/>
    </xf>
    <xf numFmtId="0" fontId="28" fillId="0" borderId="25" xfId="55" applyFont="1" applyBorder="1" applyAlignment="1" applyProtection="1">
      <alignment horizontal="left"/>
      <protection locked="0"/>
    </xf>
    <xf numFmtId="0" fontId="9" fillId="34" borderId="48" xfId="55" applyFont="1" applyFill="1" applyBorder="1" applyAlignment="1" applyProtection="1">
      <alignment horizontal="center"/>
      <protection locked="0"/>
    </xf>
    <xf numFmtId="0" fontId="9" fillId="34" borderId="34" xfId="55" applyFill="1" applyBorder="1" applyAlignment="1" applyProtection="1">
      <alignment horizontal="center"/>
      <protection locked="0"/>
    </xf>
    <xf numFmtId="0" fontId="9" fillId="34" borderId="35" xfId="55" applyFill="1" applyBorder="1" applyAlignment="1" applyProtection="1">
      <alignment horizontal="center"/>
      <protection locked="0"/>
    </xf>
    <xf numFmtId="0" fontId="9" fillId="0" borderId="29" xfId="55" applyBorder="1" applyAlignment="1" applyProtection="1">
      <alignment horizontal="center"/>
      <protection locked="0"/>
    </xf>
    <xf numFmtId="0" fontId="9" fillId="0" borderId="103" xfId="55" applyFont="1" applyBorder="1" applyAlignment="1" applyProtection="1">
      <alignment horizontal="center" vertical="top" textRotation="90" wrapText="1"/>
      <protection locked="0"/>
    </xf>
    <xf numFmtId="0" fontId="9" fillId="0" borderId="103" xfId="55" applyBorder="1" applyAlignment="1" applyProtection="1">
      <alignment horizontal="center" vertical="top" textRotation="90" wrapText="1"/>
      <protection locked="0"/>
    </xf>
    <xf numFmtId="0" fontId="2" fillId="0" borderId="0" xfId="0" applyFont="1" applyBorder="1" applyAlignment="1">
      <alignment horizontal="center" vertical="center"/>
    </xf>
  </cellXfs>
  <cellStyles count="53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Standard 2" xfId="53"/>
    <cellStyle name="Standard_Ausrüstungsliste Medivh" xfId="54"/>
    <cellStyle name="Standard_Formeln und solo_Block" xfId="55"/>
    <cellStyle name="Standard_Veränderliche Werte" xfId="56"/>
    <cellStyle name="Überschrift" xfId="57"/>
    <cellStyle name="Überschrift 1" xfId="58"/>
    <cellStyle name="Überschrift 2" xfId="59"/>
    <cellStyle name="Überschrift 3" xfId="60"/>
    <cellStyle name="Überschrift 4" xfId="61"/>
    <cellStyle name="Verknüpfte Zelle" xfId="62"/>
    <cellStyle name="Currency" xfId="63"/>
    <cellStyle name="Currency [0]" xfId="64"/>
    <cellStyle name="Warnender Text" xfId="65"/>
    <cellStyle name="Zelle überprüfen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mdacil.de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imdacil.de/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imdacil.de/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imdacil.de/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5"/>
  <sheetViews>
    <sheetView zoomScalePageLayoutView="0" workbookViewId="0" topLeftCell="A13">
      <selection activeCell="P29" sqref="P29"/>
    </sheetView>
  </sheetViews>
  <sheetFormatPr defaultColWidth="7.00390625" defaultRowHeight="12.75" customHeight="1"/>
  <cols>
    <col min="1" max="1" width="2.625" style="1" customWidth="1"/>
    <col min="2" max="13" width="7.00390625" style="1" customWidth="1"/>
    <col min="14" max="14" width="2.75390625" style="1" customWidth="1"/>
    <col min="15" max="16384" width="7.00390625" style="1" customWidth="1"/>
  </cols>
  <sheetData>
    <row r="1" spans="1:14" ht="12.75" customHeight="1">
      <c r="A1" s="534" t="s">
        <v>0</v>
      </c>
      <c r="B1" s="535"/>
      <c r="C1" s="535"/>
      <c r="D1" s="535"/>
      <c r="E1" s="535"/>
      <c r="F1" s="535"/>
      <c r="G1" s="535"/>
      <c r="H1" s="535"/>
      <c r="I1" s="535"/>
      <c r="J1" s="535"/>
      <c r="K1" s="535"/>
      <c r="L1" s="535"/>
      <c r="M1" s="535"/>
      <c r="N1" s="536"/>
    </row>
    <row r="2" spans="1:14" ht="12.75" customHeight="1">
      <c r="A2" s="537"/>
      <c r="B2" s="538"/>
      <c r="C2" s="538"/>
      <c r="D2" s="538"/>
      <c r="E2" s="538"/>
      <c r="F2" s="538"/>
      <c r="G2" s="538"/>
      <c r="H2" s="538"/>
      <c r="I2" s="538"/>
      <c r="J2" s="538"/>
      <c r="K2" s="538"/>
      <c r="L2" s="538"/>
      <c r="M2" s="538"/>
      <c r="N2" s="539"/>
    </row>
    <row r="3" spans="1:14" ht="12.75" customHeight="1">
      <c r="A3" s="47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9"/>
    </row>
    <row r="4" spans="1:14" s="3" customFormat="1" ht="12.75" customHeight="1">
      <c r="A4" s="540" t="s">
        <v>241</v>
      </c>
      <c r="B4" s="541"/>
      <c r="C4" s="541"/>
      <c r="D4" s="541"/>
      <c r="E4" s="541"/>
      <c r="F4" s="541"/>
      <c r="G4" s="541"/>
      <c r="H4" s="541"/>
      <c r="I4" s="541"/>
      <c r="J4" s="541"/>
      <c r="K4" s="541"/>
      <c r="L4" s="541"/>
      <c r="M4" s="541"/>
      <c r="N4" s="542"/>
    </row>
    <row r="5" spans="1:14" s="3" customFormat="1" ht="18.75" customHeight="1" thickBot="1">
      <c r="A5" s="19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41"/>
    </row>
    <row r="6" spans="1:14" s="3" customFormat="1" ht="12.75" customHeight="1" thickBot="1">
      <c r="A6" s="19"/>
      <c r="B6" s="461" t="s">
        <v>1</v>
      </c>
      <c r="C6" s="462"/>
      <c r="D6" s="462"/>
      <c r="E6" s="462"/>
      <c r="F6" s="462"/>
      <c r="G6" s="144" t="s">
        <v>183</v>
      </c>
      <c r="H6" s="442"/>
      <c r="I6" s="443"/>
      <c r="J6" s="444"/>
      <c r="K6" s="141"/>
      <c r="L6" s="142" t="s">
        <v>9</v>
      </c>
      <c r="M6" s="143">
        <f>UrVIP+StufenVIP</f>
        <v>137</v>
      </c>
      <c r="N6" s="41"/>
    </row>
    <row r="7" spans="1:14" s="3" customFormat="1" ht="12.75" customHeight="1">
      <c r="A7" s="19"/>
      <c r="B7" s="144" t="s">
        <v>2</v>
      </c>
      <c r="C7" s="458" t="s">
        <v>255</v>
      </c>
      <c r="D7" s="459"/>
      <c r="E7" s="459"/>
      <c r="F7" s="460"/>
      <c r="G7" s="329" t="s">
        <v>185</v>
      </c>
      <c r="H7" s="455" t="s">
        <v>256</v>
      </c>
      <c r="I7" s="456"/>
      <c r="J7" s="457"/>
      <c r="K7" s="141"/>
      <c r="L7" s="146" t="s">
        <v>10</v>
      </c>
      <c r="M7" s="423">
        <f>IF(AW_1+VW_1&gt;0,(AW_1+VW_1)*50,0)</f>
        <v>1400</v>
      </c>
      <c r="N7" s="41"/>
    </row>
    <row r="8" spans="1:14" s="3" customFormat="1" ht="12.75" customHeight="1">
      <c r="A8" s="19"/>
      <c r="B8" s="148" t="s">
        <v>67</v>
      </c>
      <c r="C8" s="447" t="s">
        <v>242</v>
      </c>
      <c r="D8" s="451"/>
      <c r="E8" s="451"/>
      <c r="F8" s="448"/>
      <c r="G8" s="329" t="s">
        <v>184</v>
      </c>
      <c r="H8" s="455" t="s">
        <v>257</v>
      </c>
      <c r="I8" s="456"/>
      <c r="J8" s="457"/>
      <c r="K8" s="141"/>
      <c r="L8" s="150" t="s">
        <v>159</v>
      </c>
      <c r="M8" s="147">
        <f>IF(AUSD&lt;=30,AUSD*10,(30*10)+((AUSD-30)*30))-(R_BKAP1+R_BKAP2+R_BKAP3)-Waffengewicht+BKAP_Bonus</f>
        <v>180</v>
      </c>
      <c r="N8" s="41"/>
    </row>
    <row r="9" spans="1:14" s="3" customFormat="1" ht="12.75" customHeight="1" thickBot="1">
      <c r="A9" s="19"/>
      <c r="B9" s="148" t="s">
        <v>3</v>
      </c>
      <c r="C9" s="447" t="s">
        <v>148</v>
      </c>
      <c r="D9" s="451"/>
      <c r="E9" s="452"/>
      <c r="F9" s="448"/>
      <c r="G9" s="264" t="s">
        <v>134</v>
      </c>
      <c r="H9" s="492"/>
      <c r="I9" s="493"/>
      <c r="J9" s="494"/>
      <c r="K9" s="141"/>
      <c r="L9" s="134" t="s">
        <v>154</v>
      </c>
      <c r="M9" s="147">
        <f>IF(TAK+AUSD+KK+GE&gt;=100,AW_1-10,0)</f>
        <v>0</v>
      </c>
      <c r="N9" s="41"/>
    </row>
    <row r="10" spans="1:14" s="3" customFormat="1" ht="12.75" customHeight="1" thickBot="1">
      <c r="A10" s="19"/>
      <c r="B10" s="148" t="s">
        <v>84</v>
      </c>
      <c r="C10" s="447" t="s">
        <v>277</v>
      </c>
      <c r="D10" s="448"/>
      <c r="E10" s="187" t="s">
        <v>5</v>
      </c>
      <c r="F10" s="224" t="s">
        <v>275</v>
      </c>
      <c r="G10" s="329" t="s">
        <v>4</v>
      </c>
      <c r="H10" s="332" t="s">
        <v>274</v>
      </c>
      <c r="I10" s="187" t="s">
        <v>92</v>
      </c>
      <c r="J10" s="330">
        <f>IF(KK+AUSD&gt;0,(KK+AUSD-11)*1000,0)+(IF(AUSD&gt;30,(AUSD-30)*2000,0))</f>
        <v>27000</v>
      </c>
      <c r="K10" s="141"/>
      <c r="L10" s="152" t="s">
        <v>155</v>
      </c>
      <c r="M10" s="153">
        <f>IF(BE+ROUNDDOWN(IF(AUSD+GE+KF&gt;54,(AUSD+GE+KF-50)/5,0),0)&gt;VW_1,VW_1,BE+ROUNDDOWN(IF(AUSD+GE+KF&gt;54,(AUSD+GE+KF-50)/5,0),0))</f>
        <v>10</v>
      </c>
      <c r="N10" s="41"/>
    </row>
    <row r="11" spans="1:14" s="3" customFormat="1" ht="12.75" customHeight="1" thickBot="1">
      <c r="A11" s="19"/>
      <c r="B11" s="154" t="s">
        <v>8</v>
      </c>
      <c r="C11" s="449" t="s">
        <v>272</v>
      </c>
      <c r="D11" s="450"/>
      <c r="E11" s="194" t="s">
        <v>6</v>
      </c>
      <c r="F11" s="225" t="s">
        <v>276</v>
      </c>
      <c r="G11" s="154" t="s">
        <v>237</v>
      </c>
      <c r="H11" s="333"/>
      <c r="I11" s="265" t="s">
        <v>160</v>
      </c>
      <c r="J11" s="331">
        <f>Gesamtgewicht</f>
        <v>16560</v>
      </c>
      <c r="K11" s="157"/>
      <c r="L11" s="158" t="s">
        <v>153</v>
      </c>
      <c r="M11" s="266"/>
      <c r="N11" s="41"/>
    </row>
    <row r="12" spans="1:14" s="3" customFormat="1" ht="12.75" customHeight="1" thickBot="1">
      <c r="A12" s="19"/>
      <c r="B12" s="159"/>
      <c r="C12" s="159"/>
      <c r="D12" s="159"/>
      <c r="E12" s="159"/>
      <c r="F12" s="159"/>
      <c r="G12" s="159"/>
      <c r="H12" s="159"/>
      <c r="I12" s="159"/>
      <c r="J12" s="159"/>
      <c r="K12" s="159"/>
      <c r="L12" s="159"/>
      <c r="M12" s="159"/>
      <c r="N12" s="41"/>
    </row>
    <row r="13" spans="1:14" s="3" customFormat="1" ht="12.75" customHeight="1" thickBot="1" thickTop="1">
      <c r="A13" s="19"/>
      <c r="B13" s="160" t="s">
        <v>168</v>
      </c>
      <c r="C13" s="161" t="s">
        <v>96</v>
      </c>
      <c r="D13" s="161" t="s">
        <v>7</v>
      </c>
      <c r="E13" s="162" t="s">
        <v>93</v>
      </c>
      <c r="F13" s="141"/>
      <c r="G13" s="163" t="s">
        <v>127</v>
      </c>
      <c r="H13" s="164" t="s">
        <v>129</v>
      </c>
      <c r="I13" s="165"/>
      <c r="J13" s="166"/>
      <c r="K13" s="167"/>
      <c r="L13" s="167"/>
      <c r="M13" s="168"/>
      <c r="N13" s="41"/>
    </row>
    <row r="14" spans="1:14" s="3" customFormat="1" ht="12.75" customHeight="1" thickBot="1">
      <c r="A14" s="19"/>
      <c r="B14" s="144" t="s">
        <v>19</v>
      </c>
      <c r="C14" s="169">
        <v>14</v>
      </c>
      <c r="D14" s="170"/>
      <c r="E14" s="171">
        <v>14</v>
      </c>
      <c r="F14" s="141"/>
      <c r="G14" s="155">
        <f>VLOOKUP(WEP_Punkte,Stufentabelle!B5:C204,2,TRUE)</f>
        <v>2</v>
      </c>
      <c r="H14" s="156">
        <f>VLOOKUP(KEP_Punkte,Stufentabelle!E5:F204,2,TRUE)</f>
        <v>3</v>
      </c>
      <c r="I14" s="141"/>
      <c r="J14" s="172"/>
      <c r="K14" s="173"/>
      <c r="L14" s="173"/>
      <c r="M14" s="174"/>
      <c r="N14" s="41"/>
    </row>
    <row r="15" spans="1:14" s="3" customFormat="1" ht="12.75" customHeight="1" thickBot="1">
      <c r="A15" s="19"/>
      <c r="B15" s="148" t="s">
        <v>20</v>
      </c>
      <c r="C15" s="175">
        <v>16</v>
      </c>
      <c r="D15" s="176"/>
      <c r="E15" s="177">
        <v>16</v>
      </c>
      <c r="F15" s="141"/>
      <c r="G15" s="495" t="s">
        <v>12</v>
      </c>
      <c r="H15" s="496"/>
      <c r="I15" s="165"/>
      <c r="J15" s="172"/>
      <c r="K15" s="173"/>
      <c r="L15" s="173"/>
      <c r="M15" s="174"/>
      <c r="N15" s="41"/>
    </row>
    <row r="16" spans="1:14" s="3" customFormat="1" ht="12.75" customHeight="1">
      <c r="A16" s="19"/>
      <c r="B16" s="148" t="s">
        <v>166</v>
      </c>
      <c r="C16" s="175">
        <v>13</v>
      </c>
      <c r="D16" s="176">
        <v>1</v>
      </c>
      <c r="E16" s="177">
        <v>14</v>
      </c>
      <c r="F16" s="141"/>
      <c r="G16" s="497">
        <v>250</v>
      </c>
      <c r="H16" s="498"/>
      <c r="I16" s="178"/>
      <c r="J16" s="179"/>
      <c r="K16" s="173"/>
      <c r="L16" s="173"/>
      <c r="M16" s="174"/>
      <c r="N16" s="41"/>
    </row>
    <row r="17" spans="1:14" s="3" customFormat="1" ht="12.75" customHeight="1" thickBot="1">
      <c r="A17" s="19"/>
      <c r="B17" s="148" t="s">
        <v>167</v>
      </c>
      <c r="C17" s="175">
        <v>17</v>
      </c>
      <c r="D17" s="176"/>
      <c r="E17" s="177">
        <v>17</v>
      </c>
      <c r="F17" s="141"/>
      <c r="G17" s="453"/>
      <c r="H17" s="454"/>
      <c r="I17" s="178"/>
      <c r="J17" s="179"/>
      <c r="K17" s="173"/>
      <c r="L17" s="173"/>
      <c r="M17" s="174"/>
      <c r="N17" s="41"/>
    </row>
    <row r="18" spans="1:14" s="3" customFormat="1" ht="12.75" customHeight="1" thickBot="1">
      <c r="A18" s="19"/>
      <c r="B18" s="148" t="s">
        <v>21</v>
      </c>
      <c r="C18" s="175">
        <v>19</v>
      </c>
      <c r="D18" s="176">
        <v>1</v>
      </c>
      <c r="E18" s="177">
        <v>20</v>
      </c>
      <c r="F18" s="141"/>
      <c r="G18" s="499" t="s">
        <v>11</v>
      </c>
      <c r="H18" s="500"/>
      <c r="I18" s="178"/>
      <c r="J18" s="179"/>
      <c r="K18" s="173"/>
      <c r="L18" s="173"/>
      <c r="M18" s="174"/>
      <c r="N18" s="41"/>
    </row>
    <row r="19" spans="1:14" s="3" customFormat="1" ht="12.75" customHeight="1">
      <c r="A19" s="19"/>
      <c r="B19" s="148" t="s">
        <v>22</v>
      </c>
      <c r="C19" s="175">
        <v>17</v>
      </c>
      <c r="D19" s="176">
        <v>1</v>
      </c>
      <c r="E19" s="177">
        <v>18</v>
      </c>
      <c r="F19" s="141"/>
      <c r="G19" s="501">
        <v>750</v>
      </c>
      <c r="H19" s="502"/>
      <c r="I19" s="165"/>
      <c r="J19" s="172"/>
      <c r="K19" s="173"/>
      <c r="L19" s="173"/>
      <c r="M19" s="174"/>
      <c r="N19" s="41"/>
    </row>
    <row r="20" spans="1:14" s="3" customFormat="1" ht="12.75" customHeight="1" thickBot="1">
      <c r="A20" s="19"/>
      <c r="B20" s="154" t="s">
        <v>23</v>
      </c>
      <c r="C20" s="180">
        <v>16</v>
      </c>
      <c r="D20" s="181"/>
      <c r="E20" s="182">
        <v>16</v>
      </c>
      <c r="F20" s="141"/>
      <c r="G20" s="445"/>
      <c r="H20" s="446"/>
      <c r="I20" s="165"/>
      <c r="J20" s="183"/>
      <c r="K20" s="165"/>
      <c r="L20" s="184"/>
      <c r="M20" s="185"/>
      <c r="N20" s="41"/>
    </row>
    <row r="21" spans="1:14" s="3" customFormat="1" ht="12.75" customHeight="1" thickBot="1">
      <c r="A21" s="19"/>
      <c r="B21" s="159"/>
      <c r="C21" s="159"/>
      <c r="D21" s="159"/>
      <c r="E21" s="159"/>
      <c r="F21" s="159"/>
      <c r="G21" s="159"/>
      <c r="H21" s="159"/>
      <c r="I21" s="141"/>
      <c r="J21" s="172"/>
      <c r="K21" s="165"/>
      <c r="L21" s="165"/>
      <c r="M21" s="186"/>
      <c r="N21" s="41"/>
    </row>
    <row r="22" spans="1:14" s="3" customFormat="1" ht="12.75" customHeight="1" thickBot="1">
      <c r="A22" s="19"/>
      <c r="F22" s="159"/>
      <c r="G22" s="187" t="s">
        <v>140</v>
      </c>
      <c r="H22" s="188">
        <f>IF(GE-1&gt;30,30,GE-1)</f>
        <v>15</v>
      </c>
      <c r="I22" s="141"/>
      <c r="J22" s="189"/>
      <c r="K22" s="165"/>
      <c r="L22" s="173"/>
      <c r="M22" s="174"/>
      <c r="N22" s="41"/>
    </row>
    <row r="23" spans="1:14" s="3" customFormat="1" ht="12.75" customHeight="1" thickBot="1">
      <c r="A23" s="19"/>
      <c r="B23" s="461" t="s">
        <v>188</v>
      </c>
      <c r="C23" s="491"/>
      <c r="D23" s="190" t="s">
        <v>94</v>
      </c>
      <c r="E23" s="162" t="s">
        <v>93</v>
      </c>
      <c r="F23" s="165"/>
      <c r="G23" s="191" t="s">
        <v>161</v>
      </c>
      <c r="H23" s="192">
        <v>200</v>
      </c>
      <c r="I23" s="141"/>
      <c r="J23" s="189"/>
      <c r="K23" s="165"/>
      <c r="L23" s="173"/>
      <c r="M23" s="174"/>
      <c r="N23" s="41"/>
    </row>
    <row r="24" spans="1:14" s="3" customFormat="1" ht="12.75" customHeight="1">
      <c r="A24" s="19"/>
      <c r="B24" s="543" t="s">
        <v>171</v>
      </c>
      <c r="C24" s="544"/>
      <c r="D24" s="145">
        <v>35</v>
      </c>
      <c r="E24" s="193">
        <f>IF(UrRZ1+IF(AUSD&gt;17,(AUSD-17)*5,0)&gt;90,90,UrRZ1+IF(AUSD&gt;17,(AUSD-17)*5,0))</f>
        <v>50</v>
      </c>
      <c r="F24" s="165"/>
      <c r="G24" s="191" t="s">
        <v>162</v>
      </c>
      <c r="H24" s="192">
        <f>IF(ST_Bonus+ROUNDDOWN((WEI+TAK)/2,0)&gt;30,30,ST_Bonus+ROUNDDOWN((WEI+TAK)/2,0))</f>
        <v>17</v>
      </c>
      <c r="I24" s="141"/>
      <c r="J24" s="189"/>
      <c r="K24" s="165"/>
      <c r="L24" s="173"/>
      <c r="M24" s="174"/>
      <c r="N24" s="41"/>
    </row>
    <row r="25" spans="1:14" s="3" customFormat="1" ht="12.75" customHeight="1">
      <c r="A25" s="19"/>
      <c r="B25" s="481" t="s">
        <v>172</v>
      </c>
      <c r="C25" s="482"/>
      <c r="D25" s="149">
        <v>25</v>
      </c>
      <c r="E25" s="177">
        <f>IF(UrRZ2+IF(AUSD&gt;17,(AUSD-17)*5,0)&gt;90,90,UrRZ2+IF(AUSD&gt;17,(AUSD-17)*5,0))</f>
        <v>40</v>
      </c>
      <c r="F25" s="165"/>
      <c r="G25" s="191" t="s">
        <v>163</v>
      </c>
      <c r="H25" s="192">
        <v>0</v>
      </c>
      <c r="I25" s="141"/>
      <c r="J25" s="189"/>
      <c r="K25" s="165"/>
      <c r="L25" s="173"/>
      <c r="M25" s="174"/>
      <c r="N25" s="41"/>
    </row>
    <row r="26" spans="1:14" s="3" customFormat="1" ht="12.75" customHeight="1">
      <c r="A26" s="19"/>
      <c r="B26" s="481" t="s">
        <v>169</v>
      </c>
      <c r="C26" s="482"/>
      <c r="D26" s="149">
        <v>20</v>
      </c>
      <c r="E26" s="177">
        <f>IF(UrRZ3+IF(WEI&gt;17,(WEI-17)*5,0)&gt;90,90,UrRZ3+IF(WEI&gt;17,(WEI-17)*5,0))</f>
        <v>20</v>
      </c>
      <c r="F26" s="165"/>
      <c r="G26" s="191" t="s">
        <v>164</v>
      </c>
      <c r="H26" s="192" t="s">
        <v>97</v>
      </c>
      <c r="I26" s="141"/>
      <c r="J26" s="189"/>
      <c r="K26" s="165"/>
      <c r="L26" s="173"/>
      <c r="M26" s="174"/>
      <c r="N26" s="41"/>
    </row>
    <row r="27" spans="1:14" s="3" customFormat="1" ht="12.75" customHeight="1" thickBot="1">
      <c r="A27" s="19"/>
      <c r="B27" s="479" t="s">
        <v>170</v>
      </c>
      <c r="C27" s="480"/>
      <c r="D27" s="155">
        <v>10</v>
      </c>
      <c r="E27" s="182">
        <f>IF(UrRZ4+IF(WEI&gt;17,(WEI-17)*5,0)&gt;90,90,UrRZ4+IF(WEI&gt;17,(WEI-17)*5,0))</f>
        <v>10</v>
      </c>
      <c r="F27" s="165"/>
      <c r="G27" s="194" t="s">
        <v>165</v>
      </c>
      <c r="H27" s="195">
        <f>IF(KF_Bonus+ROUND(((IF(ST&gt;=5,ST-5,0))+KL+WEI+TAK)/4,0)&gt;30,30,KF_Bonus+ROUND(((IF(ST&gt;=5,ST-5,0))+KL+WEI+TAK)/4,0))</f>
        <v>15</v>
      </c>
      <c r="I27" s="141"/>
      <c r="J27" s="196"/>
      <c r="K27" s="197"/>
      <c r="L27" s="198"/>
      <c r="M27" s="199"/>
      <c r="N27" s="41"/>
    </row>
    <row r="28" spans="1:14" s="3" customFormat="1" ht="12.75" customHeight="1" thickBot="1">
      <c r="A28" s="19"/>
      <c r="B28" s="159"/>
      <c r="C28" s="159"/>
      <c r="D28" s="159" t="s">
        <v>204</v>
      </c>
      <c r="E28" s="159"/>
      <c r="F28" s="159"/>
      <c r="G28" s="159"/>
      <c r="H28" s="159"/>
      <c r="I28" s="200"/>
      <c r="J28" s="200"/>
      <c r="K28" s="200"/>
      <c r="L28" s="201"/>
      <c r="M28" s="159"/>
      <c r="N28" s="41"/>
    </row>
    <row r="29" spans="1:14" s="3" customFormat="1" ht="12.75" customHeight="1" thickBot="1">
      <c r="A29" s="19"/>
      <c r="B29" s="477" t="s">
        <v>176</v>
      </c>
      <c r="C29" s="478"/>
      <c r="D29" s="214" t="s">
        <v>178</v>
      </c>
      <c r="E29" s="215" t="s">
        <v>95</v>
      </c>
      <c r="F29" s="215" t="s">
        <v>82</v>
      </c>
      <c r="G29" s="215" t="s">
        <v>81</v>
      </c>
      <c r="H29" s="216" t="s">
        <v>175</v>
      </c>
      <c r="I29" s="217" t="s">
        <v>17</v>
      </c>
      <c r="J29" s="141"/>
      <c r="K29" s="202" t="s">
        <v>130</v>
      </c>
      <c r="L29" s="485"/>
      <c r="M29" s="486"/>
      <c r="N29" s="41"/>
    </row>
    <row r="30" spans="1:14" s="3" customFormat="1" ht="12.75" customHeight="1">
      <c r="A30" s="19"/>
      <c r="B30" s="523" t="s">
        <v>258</v>
      </c>
      <c r="C30" s="545"/>
      <c r="D30" s="219" t="s">
        <v>259</v>
      </c>
      <c r="E30" s="220">
        <v>4</v>
      </c>
      <c r="F30" s="220">
        <v>10</v>
      </c>
      <c r="G30" s="212">
        <f>IF(BE_Bonus+BBE+IF(GE&gt;15,ROUNDDOWN((GE-15)/3,0),0)&gt;17,17,BE_Bonus+BBE+IF(GE&gt;15,ROUNDDOWN((GE-15)/3,0),0))</f>
        <v>10</v>
      </c>
      <c r="H30" s="221">
        <v>10</v>
      </c>
      <c r="I30" s="218">
        <v>50</v>
      </c>
      <c r="J30" s="141"/>
      <c r="K30" s="487" t="s">
        <v>131</v>
      </c>
      <c r="L30" s="488"/>
      <c r="M30" s="129"/>
      <c r="N30" s="41"/>
    </row>
    <row r="31" spans="1:14" s="3" customFormat="1" ht="12.75" customHeight="1">
      <c r="A31" s="19"/>
      <c r="B31" s="546"/>
      <c r="C31" s="507"/>
      <c r="D31" s="210"/>
      <c r="E31" s="211"/>
      <c r="F31" s="151"/>
      <c r="G31" s="151"/>
      <c r="H31" s="151"/>
      <c r="I31" s="139"/>
      <c r="J31" s="141"/>
      <c r="K31" s="489" t="s">
        <v>177</v>
      </c>
      <c r="L31" s="490"/>
      <c r="M31" s="130"/>
      <c r="N31" s="41"/>
    </row>
    <row r="32" spans="1:14" s="3" customFormat="1" ht="12.75" customHeight="1" thickBot="1">
      <c r="A32" s="19"/>
      <c r="B32" s="528"/>
      <c r="C32" s="547"/>
      <c r="D32" s="222"/>
      <c r="E32" s="223"/>
      <c r="F32" s="208"/>
      <c r="G32" s="208"/>
      <c r="H32" s="208"/>
      <c r="I32" s="140"/>
      <c r="J32" s="141"/>
      <c r="K32" s="483" t="s">
        <v>25</v>
      </c>
      <c r="L32" s="484"/>
      <c r="M32" s="131">
        <f>Schild</f>
        <v>12</v>
      </c>
      <c r="N32" s="41"/>
    </row>
    <row r="33" spans="1:14" s="3" customFormat="1" ht="12.75" customHeight="1" thickBot="1">
      <c r="A33" s="19"/>
      <c r="B33" s="23"/>
      <c r="C33" s="23"/>
      <c r="D33" s="548"/>
      <c r="E33" s="548"/>
      <c r="F33" s="548"/>
      <c r="G33" s="23"/>
      <c r="H33" s="23"/>
      <c r="I33" s="23"/>
      <c r="J33" s="23"/>
      <c r="K33" s="23"/>
      <c r="L33" s="23"/>
      <c r="M33" s="23"/>
      <c r="N33" s="41"/>
    </row>
    <row r="34" spans="1:14" s="3" customFormat="1" ht="12.75" customHeight="1" thickBot="1">
      <c r="A34" s="19"/>
      <c r="B34" s="475" t="s">
        <v>180</v>
      </c>
      <c r="C34" s="476"/>
      <c r="D34" s="132" t="s">
        <v>17</v>
      </c>
      <c r="E34" s="257" t="s">
        <v>13</v>
      </c>
      <c r="F34" s="259" t="s">
        <v>14</v>
      </c>
      <c r="G34" s="132" t="s">
        <v>15</v>
      </c>
      <c r="H34" s="227" t="s">
        <v>152</v>
      </c>
      <c r="I34" s="133" t="s">
        <v>16</v>
      </c>
      <c r="J34" s="258" t="s">
        <v>70</v>
      </c>
      <c r="K34" s="132" t="s">
        <v>71</v>
      </c>
      <c r="L34" s="132" t="s">
        <v>121</v>
      </c>
      <c r="M34" s="133" t="s">
        <v>120</v>
      </c>
      <c r="N34" s="41"/>
    </row>
    <row r="35" spans="1:14" s="3" customFormat="1" ht="12.75" customHeight="1">
      <c r="A35" s="19"/>
      <c r="B35" s="458" t="s">
        <v>260</v>
      </c>
      <c r="C35" s="459"/>
      <c r="D35" s="205">
        <v>100</v>
      </c>
      <c r="E35" s="247" t="s">
        <v>86</v>
      </c>
      <c r="F35" s="238">
        <f>TAK+INS+BE+IW_Bonus+IW_HKW</f>
        <v>60</v>
      </c>
      <c r="G35" s="205">
        <f>2+KKB_Bonus+KKB_HKW+IF(KK&gt;=17,ROUNDDOWN((KK-15)/2,0),0)</f>
        <v>6</v>
      </c>
      <c r="H35" s="229" t="s">
        <v>132</v>
      </c>
      <c r="I35" s="228">
        <f>4+BSP_Bonus+BSP_HKW+IF(KK&gt;=16,ROUNDDOWN((KK-14)/2,0),0)</f>
        <v>16</v>
      </c>
      <c r="J35" s="238">
        <f aca="true" t="shared" si="0" ref="J35:J40">IF(StufenAW+ROUND((TAK+AUSD+KK+GE+BBE)/5,0)&gt;27,27,StufenAW+ROUND((TAK+AUSD+KK+GE+BBE)/5,0))</f>
        <v>17</v>
      </c>
      <c r="K35" s="205">
        <f aca="true" t="shared" si="1" ref="K35:K40">IF(StufenVW+IF(WEI&gt;=1,ROUND((IF(WEI+INS+KF-21&gt;=0,WEI+INS+KF-21,0))/6,0)+ROUND(IF(GE&gt;15,(GE-15+BBE)/2,BBE/2),0),0)&gt;25,25,StufenVW+IF(WEI&gt;=1,ROUND((IF(WEI+INS+KF-21&gt;=0,WEI+INS+KF-21,0))/6,0)+ROUND(IF(GE&gt;15,(GE-15+BBE)/2,BBE/2),0),0))</f>
        <v>11</v>
      </c>
      <c r="L35" s="205">
        <f>IF(AW_1&gt;=10,VLOOKUP(AW_1,Formeln!$B$23:$I$40,HKW,FALSE),0)</f>
        <v>4</v>
      </c>
      <c r="M35" s="228">
        <f>IF(VW_1&gt;=10,VLOOKUP(VW_1,Formeln!$K$23:$R$38,HKW,FALSE),0)</f>
        <v>3</v>
      </c>
      <c r="N35" s="41"/>
    </row>
    <row r="36" spans="1:14" s="3" customFormat="1" ht="12.75" customHeight="1">
      <c r="A36" s="19"/>
      <c r="B36" s="447" t="s">
        <v>124</v>
      </c>
      <c r="C36" s="451"/>
      <c r="D36" s="135">
        <v>40</v>
      </c>
      <c r="E36" s="236" t="s">
        <v>88</v>
      </c>
      <c r="F36" s="248">
        <f>TAK+INS+BE+IW_Bonus+IW_NW1</f>
        <v>63</v>
      </c>
      <c r="G36" s="135">
        <f>2+KKB_Bonus+KKB_1+IF(KK&gt;=17,ROUNDDOWN((KK-15)/2,0),0)</f>
        <v>3</v>
      </c>
      <c r="H36" s="226" t="s">
        <v>133</v>
      </c>
      <c r="I36" s="249">
        <f>4+BSP_Bonus+BSP_1+IF(KK&gt;=16,ROUNDDOWN((KK-14)/2,0),0)</f>
        <v>13</v>
      </c>
      <c r="J36" s="239">
        <f>IF(StufenAW+ROUND((TAK+AUSD+KK+GE+BBE)/5,0)&gt;27,27,StufenAW+ROUND((TAK+AUSD+KK+GE+BBE)/5,0))</f>
        <v>17</v>
      </c>
      <c r="K36" s="135">
        <f>IF(StufenVW+IF(WEI&gt;=1,ROUND((IF(WEI+INS+KF-21&gt;=0,WEI+INS+KF-21,0))/6,0)+ROUND(IF(GE&gt;15,(GE-15+BBE)/2,BBE/2),0),0)&gt;25,25,StufenVW+IF(WEI&gt;=1,ROUND((IF(WEI+INS+KF-21&gt;=0,WEI+INS+KF-21,0))/6,0)+ROUND(IF(GE&gt;15,(GE-15+BBE)/2,BBE/2),0),0))</f>
        <v>11</v>
      </c>
      <c r="L36" s="135">
        <f>IF(AW_2&gt;=10,VLOOKUP(AW_2,Formeln!$B$23:$I$40,NW_1,FALSE),0)</f>
        <v>3</v>
      </c>
      <c r="M36" s="136">
        <f>IF(VW_2&gt;=10,VLOOKUP(VW_2,Formeln!$K$23:$R$38,NW_1,FALSE),0)</f>
        <v>2</v>
      </c>
      <c r="N36" s="41"/>
    </row>
    <row r="37" spans="1:14" s="3" customFormat="1" ht="12.75" customHeight="1">
      <c r="A37" s="19"/>
      <c r="B37" s="447"/>
      <c r="C37" s="451"/>
      <c r="D37" s="135"/>
      <c r="E37" s="236"/>
      <c r="F37" s="436">
        <v>57</v>
      </c>
      <c r="G37" s="437">
        <f>2+KKB_Bonus+KKB_2+IF(KK&gt;=17,ROUNDDOWN((KK-15)/2,0),0)</f>
        <v>5</v>
      </c>
      <c r="H37" s="438"/>
      <c r="I37" s="439">
        <f>4+BSP_Bonus+BSP_2+IF(KK&gt;=16,ROUNDDOWN((KK-14)/2,0),0)</f>
        <v>10</v>
      </c>
      <c r="J37" s="440">
        <f>IF(StufenAW+ROUND((TAK+AUSD+KK+GE+BBE)/5,0)&gt;27,27,StufenAW+ROUND((TAK+AUSD+KK+GE+BBE)/5,0))</f>
        <v>17</v>
      </c>
      <c r="K37" s="437">
        <f>IF(StufenVW+IF(WEI&gt;=1,ROUND((IF(WEI+INS+KF-21&gt;=0,WEI+INS+KF-21,0))/6,0)+ROUND(IF(GE&gt;15,(GE-15+BBE)/2,BBE/2),0),0)&gt;25,25,StufenVW+IF(WEI&gt;=1,ROUND((IF(WEI+INS+KF-21&gt;=0,WEI+INS+KF-21,0))/6,0)+ROUND(IF(GE&gt;15,(GE-15+BBE)/2,BBE/2),0),0))</f>
        <v>11</v>
      </c>
      <c r="L37" s="437">
        <f>IF(AW_3&gt;=10,VLOOKUP(AW_3,Formeln!$B$23:$I$40,NW_2,FALSE),0)</f>
        <v>0</v>
      </c>
      <c r="M37" s="441">
        <f>IF(VW_3&gt;=10,VLOOKUP(VW_3,Formeln!$K$23:$R$38,NW_2,FALSE),0)</f>
        <v>0</v>
      </c>
      <c r="N37" s="41"/>
    </row>
    <row r="38" spans="1:14" s="3" customFormat="1" ht="12.75" customHeight="1">
      <c r="A38" s="19"/>
      <c r="B38" s="467"/>
      <c r="C38" s="468"/>
      <c r="D38" s="135"/>
      <c r="E38" s="236"/>
      <c r="F38" s="404"/>
      <c r="G38" s="405">
        <f>2+KKB_Bonus+KKB_3+IF(KK&gt;=17,ROUNDDOWN((KK-15)/2,0),0)</f>
        <v>5</v>
      </c>
      <c r="H38" s="408"/>
      <c r="I38" s="407">
        <f>4+BSP_Bonus+BSP_3+IF(KK&gt;=16,ROUNDDOWN((KK-14)/2,0),0)</f>
        <v>10</v>
      </c>
      <c r="J38" s="406">
        <f t="shared" si="0"/>
        <v>17</v>
      </c>
      <c r="K38" s="405">
        <f t="shared" si="1"/>
        <v>11</v>
      </c>
      <c r="L38" s="405">
        <f>IF(AW_4&gt;=10,VLOOKUP(AW_4,Formeln!$B$23:$I$40,NW_3,FALSE),0)</f>
        <v>0</v>
      </c>
      <c r="M38" s="407">
        <f>IF(VW_4&gt;=10,VLOOKUP(VW_4,Formeln!$K$23:$R$38,NW_3,FALSE),0)</f>
        <v>0</v>
      </c>
      <c r="N38" s="41"/>
    </row>
    <row r="39" spans="1:14" s="3" customFormat="1" ht="12.75" customHeight="1">
      <c r="A39" s="19"/>
      <c r="B39" s="467"/>
      <c r="C39" s="468"/>
      <c r="D39" s="135"/>
      <c r="E39" s="236"/>
      <c r="F39" s="404">
        <f>TAK+INS+BE+IW_Bonus+IW_NW4</f>
        <v>45</v>
      </c>
      <c r="G39" s="405">
        <f>2+KKB_Bonus+KKB_4+IF(KK&gt;=17,ROUNDDOWN((KK-15)/2,0),0)</f>
        <v>5</v>
      </c>
      <c r="H39" s="408"/>
      <c r="I39" s="407">
        <f>4+BSP_Bonus+BSP_4+IF(KK&gt;=16,ROUNDDOWN((KK-14)/2,0),0)</f>
        <v>10</v>
      </c>
      <c r="J39" s="406">
        <f t="shared" si="0"/>
        <v>17</v>
      </c>
      <c r="K39" s="405">
        <f t="shared" si="1"/>
        <v>11</v>
      </c>
      <c r="L39" s="405">
        <f>IF(AW_5&gt;=10,VLOOKUP(AW_5,Formeln!$B$23:$I$40,NW_4,FALSE),0)</f>
        <v>0</v>
      </c>
      <c r="M39" s="407">
        <f>IF(VW_5&gt;=10,VLOOKUP(VW_5,Formeln!$K$23:$R$38,NW_4,FALSE),0)</f>
        <v>0</v>
      </c>
      <c r="N39" s="41"/>
    </row>
    <row r="40" spans="1:14" s="3" customFormat="1" ht="12.75" customHeight="1" thickBot="1">
      <c r="A40" s="19"/>
      <c r="B40" s="467"/>
      <c r="C40" s="468"/>
      <c r="D40" s="135"/>
      <c r="E40" s="236"/>
      <c r="F40" s="406">
        <f>TAK+INS+BE+IW_Bonus+IW_NW5</f>
        <v>45</v>
      </c>
      <c r="G40" s="405">
        <f>2+KKB_Bonus+KKB_5+IF(KK&gt;=17,ROUNDDOWN((KK-15)/2,0),0)</f>
        <v>5</v>
      </c>
      <c r="H40" s="408"/>
      <c r="I40" s="407">
        <f>4+BSP_Bonus+BSP_5+IF(KK&gt;=16,ROUNDDOWN((KK-14)/2,0),0)</f>
        <v>10</v>
      </c>
      <c r="J40" s="406">
        <f t="shared" si="0"/>
        <v>17</v>
      </c>
      <c r="K40" s="409">
        <f t="shared" si="1"/>
        <v>11</v>
      </c>
      <c r="L40" s="409">
        <f>IF(AW_6&gt;=10,VLOOKUP(AW_6,Formeln!$B$23:$I$40,NW_5,FALSE),0)</f>
        <v>0</v>
      </c>
      <c r="M40" s="410">
        <f>IF(VW_6&gt;=10,VLOOKUP(VW_6,Formeln!$K$23:$R$38,NW_5,FALSE),0)</f>
        <v>0</v>
      </c>
      <c r="N40" s="41"/>
    </row>
    <row r="41" spans="1:14" s="3" customFormat="1" ht="12.75" customHeight="1" thickBot="1">
      <c r="A41" s="19"/>
      <c r="B41" s="512" t="s">
        <v>85</v>
      </c>
      <c r="C41" s="513"/>
      <c r="D41" s="137"/>
      <c r="E41" s="237"/>
      <c r="F41" s="240">
        <f>TAK+INS+BE+IW_Bonus+Ringkampf</f>
        <v>57</v>
      </c>
      <c r="G41" s="137">
        <f>KKB_Bonus+IF(KK&gt;=17,ROUNDDOWN((KK-15)/2,0),0)</f>
        <v>3</v>
      </c>
      <c r="H41" s="137" t="s">
        <v>132</v>
      </c>
      <c r="I41" s="138">
        <f>BSP_Bonus+IF(KK&gt;=16,ROUNDDOWN((KK-14)/2,0),0)</f>
        <v>6</v>
      </c>
      <c r="J41" s="253">
        <f>Ringkampf</f>
        <v>12</v>
      </c>
      <c r="K41" s="254" t="s">
        <v>186</v>
      </c>
      <c r="L41" s="255">
        <f>BE</f>
        <v>10</v>
      </c>
      <c r="M41" s="256">
        <f>Ringkampf-2</f>
        <v>10</v>
      </c>
      <c r="N41" s="41"/>
    </row>
    <row r="42" spans="1:14" s="3" customFormat="1" ht="12.75" customHeight="1" thickBot="1">
      <c r="A42" s="19"/>
      <c r="B42" s="23"/>
      <c r="C42" s="23"/>
      <c r="D42" s="23"/>
      <c r="E42" s="23"/>
      <c r="F42" s="23"/>
      <c r="G42" s="23"/>
      <c r="H42" s="25"/>
      <c r="I42" s="23"/>
      <c r="J42" s="23"/>
      <c r="K42" s="466" t="s">
        <v>187</v>
      </c>
      <c r="L42" s="466"/>
      <c r="M42" s="466"/>
      <c r="N42" s="41"/>
    </row>
    <row r="43" spans="1:14" s="3" customFormat="1" ht="12.75" customHeight="1" thickBot="1">
      <c r="A43" s="19"/>
      <c r="B43" s="469" t="s">
        <v>179</v>
      </c>
      <c r="C43" s="470"/>
      <c r="D43" s="470"/>
      <c r="E43" s="203" t="s">
        <v>181</v>
      </c>
      <c r="F43" s="260" t="s">
        <v>17</v>
      </c>
      <c r="G43" s="262" t="s">
        <v>14</v>
      </c>
      <c r="H43" s="203" t="s">
        <v>15</v>
      </c>
      <c r="I43" s="203" t="s">
        <v>152</v>
      </c>
      <c r="J43" s="263" t="s">
        <v>16</v>
      </c>
      <c r="K43" s="261" t="s">
        <v>70</v>
      </c>
      <c r="L43" s="471" t="s">
        <v>156</v>
      </c>
      <c r="M43" s="472"/>
      <c r="N43" s="41"/>
    </row>
    <row r="44" spans="1:14" s="3" customFormat="1" ht="12.75" customHeight="1">
      <c r="A44" s="19"/>
      <c r="B44" s="508"/>
      <c r="C44" s="509"/>
      <c r="D44" s="509"/>
      <c r="E44" s="204"/>
      <c r="F44" s="250"/>
      <c r="G44" s="252">
        <f>TAK+INS+BE+IW_Bonus+AW_FKW</f>
        <v>51</v>
      </c>
      <c r="H44" s="205">
        <f>KKB_Bonus+KKB_6+IF(KK&gt;=17,ROUNDDOWN((KK-15)/2,0),0)</f>
        <v>3</v>
      </c>
      <c r="I44" s="243" t="s">
        <v>182</v>
      </c>
      <c r="J44" s="244">
        <f>BSP_Bonus+BSP_6+IF(KK&gt;=16,ROUNDDOWN((KK-14)/2,0),0)</f>
        <v>6</v>
      </c>
      <c r="K44" s="242">
        <f>AW_FKW</f>
        <v>6</v>
      </c>
      <c r="L44" s="243"/>
      <c r="M44" s="244"/>
      <c r="N44" s="41"/>
    </row>
    <row r="45" spans="1:14" s="3" customFormat="1" ht="12.75" customHeight="1">
      <c r="A45" s="19"/>
      <c r="B45" s="510"/>
      <c r="C45" s="511"/>
      <c r="D45" s="511"/>
      <c r="E45" s="151"/>
      <c r="F45" s="251"/>
      <c r="G45" s="213"/>
      <c r="H45" s="413">
        <f>KKB_Bonus+KKB_7+IF(KK&gt;=17,ROUNDDOWN((KK-15)/2,0),0)</f>
        <v>3</v>
      </c>
      <c r="I45" s="414"/>
      <c r="J45" s="415">
        <f>BSP_Bonus+BSP_7+IF(KK&gt;=16,ROUNDDOWN((KK-14)/2,0),0)</f>
        <v>6</v>
      </c>
      <c r="K45" s="245"/>
      <c r="L45" s="206"/>
      <c r="M45" s="207"/>
      <c r="N45" s="41"/>
    </row>
    <row r="46" spans="1:14" s="3" customFormat="1" ht="12.75" customHeight="1">
      <c r="A46" s="19"/>
      <c r="B46" s="510"/>
      <c r="C46" s="511"/>
      <c r="D46" s="511"/>
      <c r="E46" s="151"/>
      <c r="F46" s="251"/>
      <c r="G46" s="213"/>
      <c r="H46" s="413">
        <f>KKB_Bonus+KKB_8+IF(KK&gt;=17,ROUNDDOWN((KK-15)/2,0),0)</f>
        <v>3</v>
      </c>
      <c r="I46" s="414"/>
      <c r="J46" s="415">
        <f>BSP_Bonus+BSP_8+IF(KK&gt;=16,ROUNDDOWN((KK-14)/2,0),0)</f>
        <v>6</v>
      </c>
      <c r="K46" s="245"/>
      <c r="L46" s="206"/>
      <c r="M46" s="207"/>
      <c r="N46" s="41"/>
    </row>
    <row r="47" spans="1:14" s="3" customFormat="1" ht="12.75" customHeight="1" thickBot="1">
      <c r="A47" s="19"/>
      <c r="B47" s="473"/>
      <c r="C47" s="474"/>
      <c r="D47" s="474"/>
      <c r="E47" s="208"/>
      <c r="F47" s="241"/>
      <c r="G47" s="246"/>
      <c r="H47" s="416">
        <f>KKB_Bonus+KKB_9+IF(KK&gt;=17,ROUNDDOWN((KK-15)/2,0),0)</f>
        <v>3</v>
      </c>
      <c r="I47" s="417"/>
      <c r="J47" s="418">
        <f>BSP_Bonus+BSP_9+IF(KK&gt;=16,ROUNDDOWN((KK-14)/2,0),0)</f>
        <v>6</v>
      </c>
      <c r="K47" s="246"/>
      <c r="L47" s="208"/>
      <c r="M47" s="140"/>
      <c r="N47" s="41"/>
    </row>
    <row r="48" spans="1:14" s="3" customFormat="1" ht="12.75" customHeight="1" thickBot="1">
      <c r="A48" s="19"/>
      <c r="B48" s="141"/>
      <c r="C48" s="141"/>
      <c r="D48" s="141"/>
      <c r="E48" s="141"/>
      <c r="F48" s="141"/>
      <c r="G48" s="141"/>
      <c r="H48" s="159"/>
      <c r="I48" s="141"/>
      <c r="J48" s="141"/>
      <c r="K48" s="141"/>
      <c r="L48" s="141"/>
      <c r="M48" s="141"/>
      <c r="N48" s="41"/>
    </row>
    <row r="49" spans="1:14" s="3" customFormat="1" ht="12.75" customHeight="1" thickBot="1">
      <c r="A49" s="19"/>
      <c r="B49" s="461" t="s">
        <v>173</v>
      </c>
      <c r="C49" s="462"/>
      <c r="D49" s="491"/>
      <c r="E49" s="514"/>
      <c r="F49" s="515"/>
      <c r="G49" s="516"/>
      <c r="H49" s="159"/>
      <c r="I49" s="520" t="s">
        <v>174</v>
      </c>
      <c r="J49" s="521"/>
      <c r="K49" s="521"/>
      <c r="L49" s="521"/>
      <c r="M49" s="522"/>
      <c r="N49" s="41"/>
    </row>
    <row r="50" spans="1:14" s="3" customFormat="1" ht="12.75" customHeight="1">
      <c r="A50" s="19"/>
      <c r="B50" s="523" t="s">
        <v>269</v>
      </c>
      <c r="C50" s="524"/>
      <c r="D50" s="524"/>
      <c r="E50" s="505"/>
      <c r="F50" s="506"/>
      <c r="G50" s="507"/>
      <c r="H50" s="159"/>
      <c r="I50" s="463" t="s">
        <v>243</v>
      </c>
      <c r="J50" s="464"/>
      <c r="K50" s="464"/>
      <c r="L50" s="464"/>
      <c r="M50" s="465"/>
      <c r="N50" s="41"/>
    </row>
    <row r="51" spans="1:14" s="3" customFormat="1" ht="12.75" customHeight="1">
      <c r="A51" s="19"/>
      <c r="B51" s="503" t="s">
        <v>270</v>
      </c>
      <c r="C51" s="504"/>
      <c r="D51" s="504"/>
      <c r="E51" s="505"/>
      <c r="F51" s="506"/>
      <c r="G51" s="507"/>
      <c r="H51" s="159"/>
      <c r="I51" s="517" t="s">
        <v>244</v>
      </c>
      <c r="J51" s="518"/>
      <c r="K51" s="518"/>
      <c r="L51" s="518"/>
      <c r="M51" s="519"/>
      <c r="N51" s="41"/>
    </row>
    <row r="52" spans="1:14" s="3" customFormat="1" ht="12.75" customHeight="1">
      <c r="A52" s="19"/>
      <c r="B52" s="503" t="s">
        <v>271</v>
      </c>
      <c r="C52" s="504"/>
      <c r="D52" s="504"/>
      <c r="E52" s="505"/>
      <c r="F52" s="506"/>
      <c r="G52" s="507"/>
      <c r="H52" s="159"/>
      <c r="I52" s="517" t="s">
        <v>245</v>
      </c>
      <c r="J52" s="518"/>
      <c r="K52" s="518"/>
      <c r="L52" s="518"/>
      <c r="M52" s="519"/>
      <c r="N52" s="41"/>
    </row>
    <row r="53" spans="1:14" s="3" customFormat="1" ht="12.75" customHeight="1">
      <c r="A53" s="19"/>
      <c r="B53" s="503"/>
      <c r="C53" s="504"/>
      <c r="D53" s="504"/>
      <c r="E53" s="505"/>
      <c r="F53" s="506"/>
      <c r="G53" s="507"/>
      <c r="H53" s="159"/>
      <c r="I53" s="517" t="s">
        <v>246</v>
      </c>
      <c r="J53" s="518"/>
      <c r="K53" s="518"/>
      <c r="L53" s="518"/>
      <c r="M53" s="519"/>
      <c r="N53" s="41"/>
    </row>
    <row r="54" spans="1:14" s="3" customFormat="1" ht="12.75" customHeight="1">
      <c r="A54" s="19"/>
      <c r="B54" s="503"/>
      <c r="C54" s="504"/>
      <c r="D54" s="504"/>
      <c r="E54" s="505"/>
      <c r="F54" s="506"/>
      <c r="G54" s="507"/>
      <c r="H54" s="159"/>
      <c r="I54" s="517" t="s">
        <v>247</v>
      </c>
      <c r="J54" s="518"/>
      <c r="K54" s="518"/>
      <c r="L54" s="518"/>
      <c r="M54" s="519"/>
      <c r="N54" s="41"/>
    </row>
    <row r="55" spans="1:23" s="3" customFormat="1" ht="12.75" customHeight="1">
      <c r="A55" s="19"/>
      <c r="B55" s="503"/>
      <c r="C55" s="504"/>
      <c r="D55" s="504"/>
      <c r="E55" s="505"/>
      <c r="F55" s="506"/>
      <c r="G55" s="507"/>
      <c r="H55" s="209"/>
      <c r="I55" s="517" t="s">
        <v>248</v>
      </c>
      <c r="J55" s="518"/>
      <c r="K55" s="518"/>
      <c r="L55" s="518"/>
      <c r="M55" s="519"/>
      <c r="N55" s="41"/>
      <c r="Q55" s="7"/>
      <c r="R55" s="6"/>
      <c r="S55" s="6"/>
      <c r="T55" s="6"/>
      <c r="U55" s="6"/>
      <c r="V55" s="6"/>
      <c r="W55" s="6"/>
    </row>
    <row r="56" spans="1:23" s="3" customFormat="1" ht="12.75" customHeight="1">
      <c r="A56" s="19"/>
      <c r="B56" s="503"/>
      <c r="C56" s="504"/>
      <c r="D56" s="504"/>
      <c r="E56" s="505"/>
      <c r="F56" s="506"/>
      <c r="G56" s="507"/>
      <c r="H56" s="209"/>
      <c r="I56" s="517" t="s">
        <v>249</v>
      </c>
      <c r="J56" s="518"/>
      <c r="K56" s="518"/>
      <c r="L56" s="518"/>
      <c r="M56" s="519"/>
      <c r="N56" s="41"/>
      <c r="Q56" s="7"/>
      <c r="R56" s="6"/>
      <c r="S56" s="6"/>
      <c r="T56" s="6"/>
      <c r="U56" s="6"/>
      <c r="V56" s="6"/>
      <c r="W56" s="6"/>
    </row>
    <row r="57" spans="1:23" s="3" customFormat="1" ht="12.75" customHeight="1">
      <c r="A57" s="19"/>
      <c r="B57" s="503"/>
      <c r="C57" s="504"/>
      <c r="D57" s="504"/>
      <c r="E57" s="505"/>
      <c r="F57" s="506"/>
      <c r="G57" s="507"/>
      <c r="H57" s="209"/>
      <c r="I57" s="517"/>
      <c r="J57" s="518"/>
      <c r="K57" s="518"/>
      <c r="L57" s="518"/>
      <c r="M57" s="519"/>
      <c r="N57" s="41"/>
      <c r="Q57" s="7"/>
      <c r="R57" s="6"/>
      <c r="S57" s="6"/>
      <c r="T57" s="6"/>
      <c r="U57" s="6"/>
      <c r="V57" s="6"/>
      <c r="W57" s="6"/>
    </row>
    <row r="58" spans="1:23" s="3" customFormat="1" ht="12.75" customHeight="1">
      <c r="A58" s="19"/>
      <c r="B58" s="503"/>
      <c r="C58" s="504"/>
      <c r="D58" s="504"/>
      <c r="E58" s="505"/>
      <c r="F58" s="506"/>
      <c r="G58" s="507"/>
      <c r="H58" s="209"/>
      <c r="I58" s="517"/>
      <c r="J58" s="518"/>
      <c r="K58" s="518"/>
      <c r="L58" s="518"/>
      <c r="M58" s="519"/>
      <c r="N58" s="41"/>
      <c r="Q58" s="7"/>
      <c r="R58" s="6"/>
      <c r="S58" s="6"/>
      <c r="T58" s="6"/>
      <c r="U58" s="6"/>
      <c r="V58" s="6"/>
      <c r="W58" s="6"/>
    </row>
    <row r="59" spans="1:23" s="3" customFormat="1" ht="12.75" customHeight="1" thickBot="1">
      <c r="A59" s="19"/>
      <c r="B59" s="528"/>
      <c r="C59" s="529"/>
      <c r="D59" s="529"/>
      <c r="E59" s="529"/>
      <c r="F59" s="529"/>
      <c r="G59" s="530"/>
      <c r="H59" s="209"/>
      <c r="I59" s="531"/>
      <c r="J59" s="532"/>
      <c r="K59" s="532"/>
      <c r="L59" s="532"/>
      <c r="M59" s="533"/>
      <c r="N59" s="41"/>
      <c r="Q59" s="7"/>
      <c r="R59" s="6"/>
      <c r="S59" s="6"/>
      <c r="T59" s="6"/>
      <c r="U59" s="6"/>
      <c r="V59" s="6"/>
      <c r="W59" s="6"/>
    </row>
    <row r="60" spans="1:23" s="3" customFormat="1" ht="12.75" customHeight="1">
      <c r="A60" s="19"/>
      <c r="H60" s="50"/>
      <c r="N60" s="41"/>
      <c r="Q60" s="7"/>
      <c r="R60" s="6"/>
      <c r="S60" s="6"/>
      <c r="T60" s="6"/>
      <c r="U60" s="6"/>
      <c r="V60" s="6"/>
      <c r="W60" s="6"/>
    </row>
    <row r="61" spans="1:23" s="3" customFormat="1" ht="12.75" customHeight="1">
      <c r="A61" s="525" t="s">
        <v>157</v>
      </c>
      <c r="B61" s="526"/>
      <c r="C61" s="526"/>
      <c r="D61" s="526"/>
      <c r="E61" s="526"/>
      <c r="F61" s="526"/>
      <c r="G61" s="526"/>
      <c r="H61" s="526"/>
      <c r="I61" s="526"/>
      <c r="J61" s="526"/>
      <c r="K61" s="526"/>
      <c r="L61" s="526"/>
      <c r="M61" s="526"/>
      <c r="N61" s="527"/>
      <c r="Q61" s="7"/>
      <c r="R61" s="6"/>
      <c r="S61" s="6"/>
      <c r="T61" s="6"/>
      <c r="U61" s="6"/>
      <c r="V61" s="6"/>
      <c r="W61" s="6"/>
    </row>
    <row r="62" spans="1:14" s="3" customFormat="1" ht="12.75" customHeight="1">
      <c r="A62" s="33"/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46"/>
    </row>
    <row r="63" spans="1:14" s="3" customFormat="1" ht="12.75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</row>
    <row r="64" spans="1:14" s="3" customFormat="1" ht="12.75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</row>
    <row r="65" spans="1:14" s="3" customFormat="1" ht="12.75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</row>
    <row r="66" s="3" customFormat="1" ht="12.75" customHeight="1"/>
    <row r="67" s="3" customFormat="1" ht="12.75" customHeight="1"/>
    <row r="68" s="3" customFormat="1" ht="12.75" customHeight="1"/>
    <row r="69" s="3" customFormat="1" ht="12.75" customHeight="1"/>
    <row r="70" s="3" customFormat="1" ht="12.75" customHeight="1"/>
    <row r="71" s="3" customFormat="1" ht="12.75" customHeight="1"/>
    <row r="72" s="3" customFormat="1" ht="12.75" customHeight="1"/>
    <row r="73" s="3" customFormat="1" ht="12.75" customHeight="1"/>
    <row r="74" s="3" customFormat="1" ht="12.75" customHeight="1"/>
    <row r="75" s="3" customFormat="1" ht="12.75" customHeight="1"/>
    <row r="76" s="3" customFormat="1" ht="12.75" customHeight="1"/>
    <row r="77" s="3" customFormat="1" ht="12.75" customHeight="1"/>
    <row r="78" s="3" customFormat="1" ht="12.75" customHeight="1"/>
    <row r="79" s="3" customFormat="1" ht="12.75" customHeight="1"/>
    <row r="80" s="3" customFormat="1" ht="12.75" customHeight="1"/>
    <row r="81" s="3" customFormat="1" ht="12.75" customHeight="1"/>
    <row r="82" s="3" customFormat="1" ht="12.75" customHeight="1"/>
    <row r="83" s="3" customFormat="1" ht="12.75" customHeight="1"/>
    <row r="84" s="3" customFormat="1" ht="12.75" customHeight="1"/>
    <row r="85" s="3" customFormat="1" ht="12.75" customHeight="1"/>
    <row r="86" s="3" customFormat="1" ht="12.75" customHeight="1"/>
    <row r="87" s="3" customFormat="1" ht="12.75" customHeight="1"/>
    <row r="88" s="3" customFormat="1" ht="12.75" customHeight="1"/>
    <row r="89" s="3" customFormat="1" ht="12.75" customHeight="1"/>
    <row r="90" s="3" customFormat="1" ht="12.75" customHeight="1"/>
    <row r="91" s="3" customFormat="1" ht="12.75" customHeight="1"/>
    <row r="92" s="3" customFormat="1" ht="12.75" customHeight="1"/>
    <row r="93" s="3" customFormat="1" ht="12.75" customHeight="1"/>
    <row r="94" s="3" customFormat="1" ht="12.75" customHeight="1"/>
    <row r="95" s="3" customFormat="1" ht="12.75" customHeight="1"/>
    <row r="96" s="3" customFormat="1" ht="12.75" customHeight="1"/>
    <row r="97" s="3" customFormat="1" ht="12.75" customHeight="1"/>
    <row r="98" s="3" customFormat="1" ht="12.75" customHeight="1"/>
    <row r="99" s="3" customFormat="1" ht="12.75" customHeight="1"/>
    <row r="100" s="3" customFormat="1" ht="12.75" customHeight="1"/>
    <row r="101" s="3" customFormat="1" ht="12.75" customHeight="1"/>
    <row r="102" s="3" customFormat="1" ht="12.75" customHeight="1"/>
    <row r="103" s="3" customFormat="1" ht="12.75" customHeight="1"/>
    <row r="104" s="3" customFormat="1" ht="12.75" customHeight="1"/>
    <row r="105" s="3" customFormat="1" ht="12.75" customHeight="1"/>
    <row r="106" s="3" customFormat="1" ht="12.75" customHeight="1"/>
    <row r="107" s="3" customFormat="1" ht="12.75" customHeight="1"/>
    <row r="108" s="3" customFormat="1" ht="12.75" customHeight="1"/>
    <row r="109" s="3" customFormat="1" ht="12.75" customHeight="1"/>
    <row r="110" s="3" customFormat="1" ht="12.75" customHeight="1"/>
    <row r="111" s="3" customFormat="1" ht="12.75" customHeight="1"/>
    <row r="112" s="3" customFormat="1" ht="12.75" customHeight="1"/>
    <row r="113" s="3" customFormat="1" ht="12.75" customHeight="1"/>
    <row r="114" s="3" customFormat="1" ht="12.75" customHeight="1"/>
    <row r="115" s="3" customFormat="1" ht="12.75" customHeight="1"/>
    <row r="116" s="3" customFormat="1" ht="12.75" customHeight="1"/>
    <row r="117" s="3" customFormat="1" ht="12.75" customHeight="1"/>
    <row r="118" s="3" customFormat="1" ht="12.75" customHeight="1"/>
    <row r="119" s="3" customFormat="1" ht="12.75" customHeight="1"/>
    <row r="120" s="3" customFormat="1" ht="12.75" customHeight="1"/>
    <row r="121" s="3" customFormat="1" ht="12.75" customHeight="1"/>
    <row r="122" s="3" customFormat="1" ht="12.75" customHeight="1"/>
    <row r="123" s="3" customFormat="1" ht="12.75" customHeight="1"/>
    <row r="124" s="3" customFormat="1" ht="12.75" customHeight="1"/>
    <row r="125" s="3" customFormat="1" ht="12.75" customHeight="1"/>
    <row r="126" s="3" customFormat="1" ht="12.75" customHeight="1"/>
    <row r="127" s="3" customFormat="1" ht="12.75" customHeight="1"/>
    <row r="128" s="3" customFormat="1" ht="12.75" customHeight="1"/>
    <row r="129" s="3" customFormat="1" ht="12.75" customHeight="1"/>
    <row r="130" s="3" customFormat="1" ht="12.75" customHeight="1"/>
    <row r="131" s="3" customFormat="1" ht="12.75" customHeight="1"/>
    <row r="132" s="3" customFormat="1" ht="12.75" customHeight="1"/>
    <row r="133" s="3" customFormat="1" ht="12.75" customHeight="1"/>
    <row r="134" s="3" customFormat="1" ht="12.75" customHeight="1"/>
    <row r="135" s="3" customFormat="1" ht="12.75" customHeight="1"/>
    <row r="136" s="3" customFormat="1" ht="12.75" customHeight="1"/>
    <row r="137" s="3" customFormat="1" ht="12.75" customHeight="1"/>
  </sheetData>
  <sheetProtection/>
  <protectedRanges>
    <protectedRange password="8E0B" sqref="A61:N61" name="Bereich1"/>
  </protectedRanges>
  <mergeCells count="81">
    <mergeCell ref="A1:N2"/>
    <mergeCell ref="A4:N4"/>
    <mergeCell ref="B37:C37"/>
    <mergeCell ref="B26:C26"/>
    <mergeCell ref="B24:C24"/>
    <mergeCell ref="B30:C30"/>
    <mergeCell ref="B31:C31"/>
    <mergeCell ref="B32:C32"/>
    <mergeCell ref="D33:F33"/>
    <mergeCell ref="B35:C35"/>
    <mergeCell ref="A61:N61"/>
    <mergeCell ref="B59:D59"/>
    <mergeCell ref="E57:G57"/>
    <mergeCell ref="E58:G58"/>
    <mergeCell ref="E59:G59"/>
    <mergeCell ref="I57:M57"/>
    <mergeCell ref="I58:M58"/>
    <mergeCell ref="I59:M59"/>
    <mergeCell ref="B57:D57"/>
    <mergeCell ref="B58:D58"/>
    <mergeCell ref="I54:M54"/>
    <mergeCell ref="B55:D55"/>
    <mergeCell ref="E55:G55"/>
    <mergeCell ref="E54:G54"/>
    <mergeCell ref="B54:D54"/>
    <mergeCell ref="E56:G56"/>
    <mergeCell ref="I56:M56"/>
    <mergeCell ref="B56:D56"/>
    <mergeCell ref="I55:M55"/>
    <mergeCell ref="E53:G53"/>
    <mergeCell ref="I52:M52"/>
    <mergeCell ref="B53:D53"/>
    <mergeCell ref="I49:M49"/>
    <mergeCell ref="I53:M53"/>
    <mergeCell ref="B51:D51"/>
    <mergeCell ref="B50:D50"/>
    <mergeCell ref="E50:G50"/>
    <mergeCell ref="E51:G51"/>
    <mergeCell ref="I51:M51"/>
    <mergeCell ref="B36:C36"/>
    <mergeCell ref="H7:J7"/>
    <mergeCell ref="B52:D52"/>
    <mergeCell ref="E52:G52"/>
    <mergeCell ref="B44:D44"/>
    <mergeCell ref="B45:D45"/>
    <mergeCell ref="B41:C41"/>
    <mergeCell ref="E49:G49"/>
    <mergeCell ref="B46:D46"/>
    <mergeCell ref="B49:D49"/>
    <mergeCell ref="B23:C23"/>
    <mergeCell ref="H9:J9"/>
    <mergeCell ref="G15:H15"/>
    <mergeCell ref="G16:H16"/>
    <mergeCell ref="G18:H18"/>
    <mergeCell ref="G19:H19"/>
    <mergeCell ref="B34:C34"/>
    <mergeCell ref="B29:C29"/>
    <mergeCell ref="B27:C27"/>
    <mergeCell ref="B25:C25"/>
    <mergeCell ref="K32:L32"/>
    <mergeCell ref="L29:M29"/>
    <mergeCell ref="K30:L30"/>
    <mergeCell ref="K31:L31"/>
    <mergeCell ref="I50:M50"/>
    <mergeCell ref="K42:M42"/>
    <mergeCell ref="B38:C38"/>
    <mergeCell ref="B39:C39"/>
    <mergeCell ref="B40:C40"/>
    <mergeCell ref="B43:D43"/>
    <mergeCell ref="L43:M43"/>
    <mergeCell ref="B47:D47"/>
    <mergeCell ref="H6:J6"/>
    <mergeCell ref="G20:H20"/>
    <mergeCell ref="C10:D10"/>
    <mergeCell ref="C11:D11"/>
    <mergeCell ref="C9:F9"/>
    <mergeCell ref="C8:F8"/>
    <mergeCell ref="G17:H17"/>
    <mergeCell ref="H8:J8"/>
    <mergeCell ref="C7:F7"/>
    <mergeCell ref="B6:F6"/>
  </mergeCells>
  <hyperlinks>
    <hyperlink ref="A61" r:id="rId1" display="www.imdacil.de"/>
  </hyperlinks>
  <printOptions/>
  <pageMargins left="0.3937007874015748" right="0.3937007874015748" top="0.3937007874015748" bottom="0.3937007874015748" header="0.5118110236220472" footer="0.5118110236220472"/>
  <pageSetup horizontalDpi="300" verticalDpi="300" orientation="portrait" paperSize="9" r:id="rId2"/>
  <ignoredErrors>
    <ignoredError sqref="G37 M37 L38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T73"/>
  <sheetViews>
    <sheetView tabSelected="1" zoomScalePageLayoutView="0" workbookViewId="0" topLeftCell="A1">
      <selection activeCell="N27" sqref="N27"/>
    </sheetView>
  </sheetViews>
  <sheetFormatPr defaultColWidth="11.00390625" defaultRowHeight="12.75" customHeight="1"/>
  <cols>
    <col min="1" max="1" width="2.75390625" style="0" customWidth="1"/>
    <col min="2" max="9" width="3.875" style="0" customWidth="1"/>
    <col min="10" max="10" width="16.50390625" style="0" customWidth="1"/>
    <col min="11" max="13" width="3.875" style="0" customWidth="1"/>
    <col min="14" max="17" width="5.125" style="0" customWidth="1"/>
    <col min="18" max="18" width="2.375" style="0" customWidth="1"/>
  </cols>
  <sheetData>
    <row r="1" spans="1:20" ht="12.75" customHeight="1">
      <c r="A1" s="273"/>
      <c r="B1" s="565" t="s">
        <v>197</v>
      </c>
      <c r="C1" s="565"/>
      <c r="D1" s="565"/>
      <c r="E1" s="565"/>
      <c r="F1" s="565"/>
      <c r="G1" s="565"/>
      <c r="H1" s="565"/>
      <c r="I1" s="565"/>
      <c r="J1" s="565"/>
      <c r="K1" s="300"/>
      <c r="L1" s="297"/>
      <c r="M1" s="297"/>
      <c r="N1" s="297"/>
      <c r="O1" s="297"/>
      <c r="P1" s="297"/>
      <c r="Q1" s="297"/>
      <c r="R1" s="274"/>
      <c r="S1" s="18"/>
      <c r="T1" s="18"/>
    </row>
    <row r="2" spans="1:20" ht="12.75" customHeight="1">
      <c r="A2" s="294"/>
      <c r="B2" s="566"/>
      <c r="C2" s="566"/>
      <c r="D2" s="566"/>
      <c r="E2" s="566"/>
      <c r="F2" s="566"/>
      <c r="G2" s="566"/>
      <c r="H2" s="566"/>
      <c r="I2" s="566"/>
      <c r="J2" s="566"/>
      <c r="K2" s="558" t="s">
        <v>192</v>
      </c>
      <c r="L2" s="561" t="s">
        <v>193</v>
      </c>
      <c r="M2" s="561" t="s">
        <v>196</v>
      </c>
      <c r="N2" s="561" t="s">
        <v>194</v>
      </c>
      <c r="O2" s="561"/>
      <c r="P2" s="562" t="s">
        <v>198</v>
      </c>
      <c r="Q2" s="561" t="s">
        <v>195</v>
      </c>
      <c r="R2" s="296"/>
      <c r="S2" s="18"/>
      <c r="T2" s="18"/>
    </row>
    <row r="3" spans="1:20" ht="12.75" customHeight="1">
      <c r="A3" s="294"/>
      <c r="B3" s="295"/>
      <c r="C3" s="295"/>
      <c r="D3" s="295"/>
      <c r="E3" s="295"/>
      <c r="F3" s="295"/>
      <c r="G3" s="295"/>
      <c r="H3" s="295"/>
      <c r="I3" s="295"/>
      <c r="J3" s="295"/>
      <c r="K3" s="558"/>
      <c r="L3" s="561"/>
      <c r="M3" s="561"/>
      <c r="N3" s="561"/>
      <c r="O3" s="561"/>
      <c r="P3" s="562"/>
      <c r="Q3" s="561"/>
      <c r="R3" s="296"/>
      <c r="S3" s="18"/>
      <c r="T3" s="18"/>
    </row>
    <row r="4" spans="1:20" ht="12.75" customHeight="1">
      <c r="A4" s="272"/>
      <c r="B4" s="567" t="s">
        <v>2</v>
      </c>
      <c r="C4" s="567"/>
      <c r="D4" s="564" t="str">
        <f>Name</f>
        <v>Iavera Artor</v>
      </c>
      <c r="E4" s="564"/>
      <c r="F4" s="564"/>
      <c r="G4" s="564"/>
      <c r="H4" s="564"/>
      <c r="I4" s="564"/>
      <c r="J4" s="267"/>
      <c r="K4" s="558"/>
      <c r="L4" s="561"/>
      <c r="M4" s="561"/>
      <c r="N4" s="561"/>
      <c r="O4" s="561"/>
      <c r="P4" s="562"/>
      <c r="Q4" s="561"/>
      <c r="R4" s="268"/>
      <c r="S4" s="18"/>
      <c r="T4" s="18"/>
    </row>
    <row r="5" spans="1:20" ht="9" customHeight="1" thickBot="1">
      <c r="A5" s="19"/>
      <c r="B5" s="22"/>
      <c r="C5" s="22"/>
      <c r="D5" s="22"/>
      <c r="E5" s="22"/>
      <c r="F5" s="22"/>
      <c r="G5" s="22"/>
      <c r="H5" s="23"/>
      <c r="I5" s="23"/>
      <c r="J5" s="23"/>
      <c r="K5" s="558"/>
      <c r="L5" s="561"/>
      <c r="M5" s="561"/>
      <c r="N5" s="561"/>
      <c r="O5" s="561"/>
      <c r="P5" s="562"/>
      <c r="Q5" s="561"/>
      <c r="R5" s="21"/>
      <c r="S5" s="18"/>
      <c r="T5" s="18"/>
    </row>
    <row r="6" spans="1:20" ht="12.75" customHeight="1" thickBot="1">
      <c r="A6" s="19"/>
      <c r="B6" s="24">
        <f>AUSS</f>
        <v>14</v>
      </c>
      <c r="C6" s="24">
        <f>KL</f>
        <v>16</v>
      </c>
      <c r="D6" s="24">
        <f>WEI</f>
        <v>14</v>
      </c>
      <c r="E6" s="24">
        <f>AUSD</f>
        <v>20</v>
      </c>
      <c r="F6" s="24">
        <f>KK</f>
        <v>18</v>
      </c>
      <c r="G6" s="24">
        <f>GE</f>
        <v>16</v>
      </c>
      <c r="H6" s="310" t="s">
        <v>167</v>
      </c>
      <c r="I6" s="269">
        <f>TAK</f>
        <v>17</v>
      </c>
      <c r="J6" s="270"/>
      <c r="K6" s="558"/>
      <c r="L6" s="561"/>
      <c r="M6" s="561"/>
      <c r="N6" s="561"/>
      <c r="O6" s="561"/>
      <c r="P6" s="562"/>
      <c r="Q6" s="561"/>
      <c r="R6" s="21"/>
      <c r="S6" s="18"/>
      <c r="T6" s="18"/>
    </row>
    <row r="7" spans="1:20" ht="9" customHeight="1" thickBot="1">
      <c r="A7" s="19"/>
      <c r="B7" s="304"/>
      <c r="C7" s="25"/>
      <c r="D7" s="25"/>
      <c r="E7" s="25"/>
      <c r="F7" s="25"/>
      <c r="G7" s="25"/>
      <c r="H7" s="23"/>
      <c r="I7" s="23"/>
      <c r="J7" s="23"/>
      <c r="K7" s="558"/>
      <c r="L7" s="561"/>
      <c r="M7" s="561"/>
      <c r="N7" s="561"/>
      <c r="O7" s="561"/>
      <c r="P7" s="562"/>
      <c r="Q7" s="561"/>
      <c r="R7" s="21"/>
      <c r="S7" s="18"/>
      <c r="T7" s="18"/>
    </row>
    <row r="8" spans="1:20" ht="12.75" customHeight="1" thickBot="1">
      <c r="A8" s="19"/>
      <c r="B8" s="310" t="s">
        <v>19</v>
      </c>
      <c r="C8" s="310" t="s">
        <v>20</v>
      </c>
      <c r="D8" s="318" t="s">
        <v>166</v>
      </c>
      <c r="E8" s="310" t="s">
        <v>21</v>
      </c>
      <c r="F8" s="310" t="s">
        <v>22</v>
      </c>
      <c r="G8" s="319" t="s">
        <v>23</v>
      </c>
      <c r="H8" s="563" t="s">
        <v>24</v>
      </c>
      <c r="I8" s="563"/>
      <c r="J8" s="563"/>
      <c r="K8" s="299"/>
      <c r="L8" s="298"/>
      <c r="M8" s="298"/>
      <c r="N8" s="298"/>
      <c r="O8" s="298"/>
      <c r="P8" s="298"/>
      <c r="Q8" s="298"/>
      <c r="R8" s="21"/>
      <c r="S8" s="18"/>
      <c r="T8" s="18"/>
    </row>
    <row r="9" spans="1:20" ht="12.75" customHeight="1">
      <c r="A9" s="19"/>
      <c r="B9" s="26"/>
      <c r="C9" s="27"/>
      <c r="D9" s="27"/>
      <c r="E9" s="27"/>
      <c r="F9" s="27">
        <v>18</v>
      </c>
      <c r="G9" s="27">
        <v>17</v>
      </c>
      <c r="H9" s="554" t="s">
        <v>199</v>
      </c>
      <c r="I9" s="555"/>
      <c r="J9" s="555"/>
      <c r="K9" s="284">
        <v>6</v>
      </c>
      <c r="L9" s="314"/>
      <c r="M9" s="311">
        <f>SUM(IF(KK&gt;=18,KK-18,0),IF(GE&gt;=17,GE-17,0))</f>
        <v>0</v>
      </c>
      <c r="N9" s="279"/>
      <c r="O9" s="287"/>
      <c r="P9" s="305"/>
      <c r="Q9" s="291">
        <f aca="true" t="shared" si="0" ref="Q9:Q15">IF(SUM(K9:N9)&gt;27,27,(SUM(K9:N9)))</f>
        <v>6</v>
      </c>
      <c r="R9" s="21"/>
      <c r="S9" s="18"/>
      <c r="T9" s="18"/>
    </row>
    <row r="10" spans="1:20" ht="12.75" customHeight="1">
      <c r="A10" s="19"/>
      <c r="B10" s="28"/>
      <c r="C10" s="29"/>
      <c r="D10" s="29"/>
      <c r="E10" s="29">
        <v>18</v>
      </c>
      <c r="F10" s="29">
        <v>18</v>
      </c>
      <c r="G10" s="29">
        <v>18</v>
      </c>
      <c r="H10" s="551" t="s">
        <v>25</v>
      </c>
      <c r="I10" s="552"/>
      <c r="J10" s="552"/>
      <c r="K10" s="285">
        <v>10</v>
      </c>
      <c r="L10" s="315"/>
      <c r="M10" s="312">
        <f>SUM(IF(KK&gt;=18,KK-18,0),IF(GE&gt;=18,GE-18,0),IF(AUSD&gt;=18,AUSD-18,0))</f>
        <v>2</v>
      </c>
      <c r="N10" s="277"/>
      <c r="O10" s="288"/>
      <c r="P10" s="306"/>
      <c r="Q10" s="291">
        <f t="shared" si="0"/>
        <v>12</v>
      </c>
      <c r="R10" s="21"/>
      <c r="S10" s="18"/>
      <c r="T10" s="18"/>
    </row>
    <row r="11" spans="1:20" ht="12.75" customHeight="1">
      <c r="A11" s="19"/>
      <c r="B11" s="28"/>
      <c r="C11" s="29"/>
      <c r="D11" s="29"/>
      <c r="E11" s="29">
        <v>18</v>
      </c>
      <c r="F11" s="29">
        <v>18</v>
      </c>
      <c r="G11" s="29">
        <v>18</v>
      </c>
      <c r="H11" s="551" t="s">
        <v>26</v>
      </c>
      <c r="I11" s="552"/>
      <c r="J11" s="552"/>
      <c r="K11" s="280">
        <v>8</v>
      </c>
      <c r="L11" s="315"/>
      <c r="M11" s="312">
        <f>SUM(IF(KK&gt;=18,KK-18,0),IF(GE&gt;=18,GE-18,0),IF(AUSD&gt;=18,AUSD-18,0))</f>
        <v>2</v>
      </c>
      <c r="N11" s="277"/>
      <c r="O11" s="288"/>
      <c r="P11" s="306"/>
      <c r="Q11" s="291">
        <f t="shared" si="0"/>
        <v>10</v>
      </c>
      <c r="R11" s="21"/>
      <c r="S11" s="18"/>
      <c r="T11" s="18"/>
    </row>
    <row r="12" spans="1:20" ht="12.75" customHeight="1">
      <c r="A12" s="19"/>
      <c r="B12" s="28"/>
      <c r="C12" s="29"/>
      <c r="D12" s="29"/>
      <c r="E12" s="29">
        <v>18</v>
      </c>
      <c r="F12" s="29">
        <v>18</v>
      </c>
      <c r="G12" s="29">
        <v>18</v>
      </c>
      <c r="H12" s="551" t="s">
        <v>27</v>
      </c>
      <c r="I12" s="552"/>
      <c r="J12" s="552"/>
      <c r="K12" s="280">
        <v>8</v>
      </c>
      <c r="L12" s="315"/>
      <c r="M12" s="312">
        <f>SUM(IF(KK&gt;=18,KK-18,0),IF(GE&gt;=18,GE-18,0),IF(AUSD&gt;=18,AUSD-18,0))</f>
        <v>2</v>
      </c>
      <c r="N12" s="277"/>
      <c r="O12" s="288"/>
      <c r="P12" s="306"/>
      <c r="Q12" s="291">
        <f t="shared" si="0"/>
        <v>10</v>
      </c>
      <c r="R12" s="21"/>
      <c r="S12" s="18"/>
      <c r="T12" s="18"/>
    </row>
    <row r="13" spans="1:20" ht="12.75" customHeight="1">
      <c r="A13" s="19"/>
      <c r="B13" s="28"/>
      <c r="C13" s="29"/>
      <c r="D13" s="29"/>
      <c r="E13" s="29"/>
      <c r="F13" s="29">
        <v>18</v>
      </c>
      <c r="G13" s="29">
        <v>18</v>
      </c>
      <c r="H13" s="551" t="s">
        <v>28</v>
      </c>
      <c r="I13" s="552"/>
      <c r="J13" s="552"/>
      <c r="K13" s="280">
        <v>7</v>
      </c>
      <c r="L13" s="315"/>
      <c r="M13" s="312">
        <f>SUM(IF(KK&gt;=18,KK-18,0),IF(GE&gt;=18,GE-18,0))</f>
        <v>0</v>
      </c>
      <c r="N13" s="277"/>
      <c r="O13" s="288"/>
      <c r="P13" s="306"/>
      <c r="Q13" s="291">
        <f t="shared" si="0"/>
        <v>7</v>
      </c>
      <c r="R13" s="21"/>
      <c r="S13" s="18"/>
      <c r="T13" s="18"/>
    </row>
    <row r="14" spans="1:20" ht="12.75" customHeight="1">
      <c r="A14" s="19"/>
      <c r="B14" s="28"/>
      <c r="C14" s="29"/>
      <c r="D14" s="29"/>
      <c r="E14" s="29">
        <v>18</v>
      </c>
      <c r="F14" s="29">
        <v>18</v>
      </c>
      <c r="G14" s="29">
        <v>18</v>
      </c>
      <c r="H14" s="551" t="s">
        <v>29</v>
      </c>
      <c r="I14" s="552"/>
      <c r="J14" s="552"/>
      <c r="K14" s="285">
        <v>10</v>
      </c>
      <c r="L14" s="315"/>
      <c r="M14" s="312">
        <f>SUM(IF(KK&gt;=18,KK-18,0),IF(GE&gt;=18,GE-18,0),IF(AUSD&gt;=18,AUSD-18,0))</f>
        <v>2</v>
      </c>
      <c r="N14" s="277"/>
      <c r="O14" s="288"/>
      <c r="P14" s="306"/>
      <c r="Q14" s="291">
        <f t="shared" si="0"/>
        <v>12</v>
      </c>
      <c r="R14" s="21"/>
      <c r="S14" s="18"/>
      <c r="T14" s="18"/>
    </row>
    <row r="15" spans="1:20" ht="12.75" customHeight="1" thickBot="1">
      <c r="A15" s="19"/>
      <c r="B15" s="30"/>
      <c r="C15" s="31">
        <v>18</v>
      </c>
      <c r="D15" s="31"/>
      <c r="E15" s="31"/>
      <c r="F15" s="31"/>
      <c r="G15" s="31">
        <v>18</v>
      </c>
      <c r="H15" s="549" t="s">
        <v>30</v>
      </c>
      <c r="I15" s="550"/>
      <c r="J15" s="550"/>
      <c r="K15" s="281">
        <v>6</v>
      </c>
      <c r="L15" s="316"/>
      <c r="M15" s="313">
        <f>SUM(IF(KL&gt;=18,KL-18,0),IF(GE&gt;=18,GE-18,0))</f>
        <v>0</v>
      </c>
      <c r="N15" s="278"/>
      <c r="O15" s="289"/>
      <c r="P15" s="307"/>
      <c r="Q15" s="292">
        <f t="shared" si="0"/>
        <v>6</v>
      </c>
      <c r="R15" s="21"/>
      <c r="S15" s="18"/>
      <c r="T15" s="18"/>
    </row>
    <row r="16" spans="1:20" ht="9" customHeight="1" thickBot="1">
      <c r="A16" s="19"/>
      <c r="B16" s="32"/>
      <c r="C16" s="32"/>
      <c r="D16" s="32"/>
      <c r="E16" s="32"/>
      <c r="F16" s="32"/>
      <c r="G16" s="32"/>
      <c r="H16" s="104"/>
      <c r="I16" s="104"/>
      <c r="J16" s="104"/>
      <c r="K16" s="282"/>
      <c r="L16" s="282"/>
      <c r="M16" s="282"/>
      <c r="N16" s="282"/>
      <c r="O16" s="282"/>
      <c r="P16" s="282"/>
      <c r="Q16" s="270"/>
      <c r="R16" s="21"/>
      <c r="S16" s="18"/>
      <c r="T16" s="18"/>
    </row>
    <row r="17" spans="1:20" ht="12.75" customHeight="1" thickBot="1">
      <c r="A17" s="19"/>
      <c r="B17" s="320" t="s">
        <v>19</v>
      </c>
      <c r="C17" s="310" t="s">
        <v>20</v>
      </c>
      <c r="D17" s="321" t="s">
        <v>166</v>
      </c>
      <c r="E17" s="310" t="s">
        <v>21</v>
      </c>
      <c r="F17" s="310" t="s">
        <v>22</v>
      </c>
      <c r="G17" s="310" t="s">
        <v>23</v>
      </c>
      <c r="H17" s="559" t="s">
        <v>31</v>
      </c>
      <c r="I17" s="560"/>
      <c r="J17" s="560"/>
      <c r="K17" s="286"/>
      <c r="L17" s="286"/>
      <c r="M17" s="286"/>
      <c r="N17" s="286"/>
      <c r="O17" s="286"/>
      <c r="P17" s="286"/>
      <c r="Q17" s="271"/>
      <c r="R17" s="21"/>
      <c r="S17" s="18"/>
      <c r="T17" s="18"/>
    </row>
    <row r="18" spans="1:20" ht="12.75" customHeight="1">
      <c r="A18" s="19"/>
      <c r="B18" s="26"/>
      <c r="C18" s="27"/>
      <c r="D18" s="27"/>
      <c r="E18" s="27">
        <v>18</v>
      </c>
      <c r="F18" s="27">
        <v>18</v>
      </c>
      <c r="G18" s="27">
        <v>18</v>
      </c>
      <c r="H18" s="554" t="s">
        <v>32</v>
      </c>
      <c r="I18" s="555"/>
      <c r="J18" s="555"/>
      <c r="K18" s="283">
        <v>9</v>
      </c>
      <c r="L18" s="314"/>
      <c r="M18" s="311">
        <f>SUM(IF(KK&gt;=18,KK-18,0),IF(GE&gt;=18,GE-18,0),IF(AUSD&gt;=18,AUSD-18,0))</f>
        <v>2</v>
      </c>
      <c r="N18" s="279">
        <v>1</v>
      </c>
      <c r="O18" s="287"/>
      <c r="P18" s="305"/>
      <c r="Q18" s="290">
        <f aca="true" t="shared" si="1" ref="Q18:Q27">IF(SUM(K18:N18)&gt;27,27,(SUM(K18:N18)))</f>
        <v>12</v>
      </c>
      <c r="R18" s="21"/>
      <c r="S18" s="18"/>
      <c r="T18" s="18"/>
    </row>
    <row r="19" spans="1:20" ht="12.75" customHeight="1">
      <c r="A19" s="19"/>
      <c r="B19" s="28"/>
      <c r="C19" s="29"/>
      <c r="D19" s="29"/>
      <c r="E19" s="29">
        <v>17</v>
      </c>
      <c r="F19" s="29">
        <v>18</v>
      </c>
      <c r="G19" s="29"/>
      <c r="H19" s="551" t="s">
        <v>33</v>
      </c>
      <c r="I19" s="552"/>
      <c r="J19" s="552"/>
      <c r="K19" s="280">
        <v>7</v>
      </c>
      <c r="L19" s="315"/>
      <c r="M19" s="312">
        <f>SUM(IF(KK&gt;=18,KK-18),IF(AUSD&gt;=17,AUSD-17,0))</f>
        <v>3</v>
      </c>
      <c r="N19" s="277"/>
      <c r="O19" s="288"/>
      <c r="P19" s="306"/>
      <c r="Q19" s="291">
        <f t="shared" si="1"/>
        <v>10</v>
      </c>
      <c r="R19" s="21"/>
      <c r="S19" s="18"/>
      <c r="T19" s="18"/>
    </row>
    <row r="20" spans="1:20" ht="12.75" customHeight="1">
      <c r="A20" s="19"/>
      <c r="B20" s="28"/>
      <c r="C20" s="29"/>
      <c r="D20" s="29"/>
      <c r="E20" s="29">
        <v>18</v>
      </c>
      <c r="F20" s="29">
        <v>18</v>
      </c>
      <c r="G20" s="29">
        <v>18</v>
      </c>
      <c r="H20" s="551" t="s">
        <v>34</v>
      </c>
      <c r="I20" s="552"/>
      <c r="J20" s="552"/>
      <c r="K20" s="280">
        <v>8</v>
      </c>
      <c r="L20" s="315"/>
      <c r="M20" s="312">
        <f>SUM(IF(KK&gt;=18,KK-18,0),IF(GE&gt;=18,GE-18,0),IF(AUSD&gt;=18,AUSD-18,0))</f>
        <v>2</v>
      </c>
      <c r="N20" s="277"/>
      <c r="O20" s="288"/>
      <c r="P20" s="306"/>
      <c r="Q20" s="291">
        <f t="shared" si="1"/>
        <v>10</v>
      </c>
      <c r="R20" s="21"/>
      <c r="S20" s="18"/>
      <c r="T20" s="18"/>
    </row>
    <row r="21" spans="1:20" ht="12.75" customHeight="1">
      <c r="A21" s="19"/>
      <c r="B21" s="28"/>
      <c r="C21" s="29"/>
      <c r="D21" s="29"/>
      <c r="E21" s="29"/>
      <c r="F21" s="29"/>
      <c r="G21" s="29">
        <v>16</v>
      </c>
      <c r="H21" s="551" t="s">
        <v>35</v>
      </c>
      <c r="I21" s="552"/>
      <c r="J21" s="552"/>
      <c r="K21" s="285">
        <v>8</v>
      </c>
      <c r="L21" s="315"/>
      <c r="M21" s="312">
        <f>IF(GE&gt;=16,GE-16,0)</f>
        <v>0</v>
      </c>
      <c r="N21" s="277"/>
      <c r="O21" s="288"/>
      <c r="P21" s="306"/>
      <c r="Q21" s="291">
        <f t="shared" si="1"/>
        <v>8</v>
      </c>
      <c r="R21" s="21"/>
      <c r="S21" s="18"/>
      <c r="T21" s="18"/>
    </row>
    <row r="22" spans="1:20" ht="12.75" customHeight="1">
      <c r="A22" s="19"/>
      <c r="B22" s="28"/>
      <c r="C22" s="29"/>
      <c r="D22" s="29"/>
      <c r="E22" s="29"/>
      <c r="F22" s="29"/>
      <c r="G22" s="29">
        <v>16</v>
      </c>
      <c r="H22" s="551" t="s">
        <v>36</v>
      </c>
      <c r="I22" s="552"/>
      <c r="J22" s="552"/>
      <c r="K22" s="280">
        <v>5</v>
      </c>
      <c r="L22" s="315"/>
      <c r="M22" s="312">
        <f>IF(GE&gt;=16,GE-16,0)</f>
        <v>0</v>
      </c>
      <c r="N22" s="277"/>
      <c r="O22" s="288"/>
      <c r="P22" s="306"/>
      <c r="Q22" s="291">
        <f t="shared" si="1"/>
        <v>5</v>
      </c>
      <c r="R22" s="21"/>
      <c r="S22" s="18"/>
      <c r="T22" s="18"/>
    </row>
    <row r="23" spans="1:20" ht="12.75" customHeight="1">
      <c r="A23" s="19"/>
      <c r="B23" s="28"/>
      <c r="C23" s="29"/>
      <c r="D23" s="29"/>
      <c r="E23" s="29"/>
      <c r="F23" s="29"/>
      <c r="G23" s="29">
        <v>17</v>
      </c>
      <c r="H23" s="551" t="s">
        <v>37</v>
      </c>
      <c r="I23" s="552"/>
      <c r="J23" s="552"/>
      <c r="K23" s="280">
        <v>3</v>
      </c>
      <c r="L23" s="315"/>
      <c r="M23" s="312">
        <f>IF(GE&gt;=17,GE-17,0)</f>
        <v>0</v>
      </c>
      <c r="N23" s="277"/>
      <c r="O23" s="288"/>
      <c r="P23" s="306"/>
      <c r="Q23" s="291">
        <f t="shared" si="1"/>
        <v>3</v>
      </c>
      <c r="R23" s="21"/>
      <c r="S23" s="18"/>
      <c r="T23" s="18"/>
    </row>
    <row r="24" spans="1:20" ht="12.75" customHeight="1">
      <c r="A24" s="19"/>
      <c r="B24" s="28"/>
      <c r="C24" s="29"/>
      <c r="D24" s="29"/>
      <c r="E24" s="29"/>
      <c r="F24" s="29"/>
      <c r="G24" s="29">
        <v>16</v>
      </c>
      <c r="H24" s="551" t="s">
        <v>38</v>
      </c>
      <c r="I24" s="552"/>
      <c r="J24" s="552"/>
      <c r="K24" s="280">
        <v>5</v>
      </c>
      <c r="L24" s="315"/>
      <c r="M24" s="312">
        <f>IF(GE&gt;=16,GE-16,0)</f>
        <v>0</v>
      </c>
      <c r="N24" s="277">
        <v>1</v>
      </c>
      <c r="O24" s="288"/>
      <c r="P24" s="306"/>
      <c r="Q24" s="291">
        <f t="shared" si="1"/>
        <v>6</v>
      </c>
      <c r="R24" s="21"/>
      <c r="S24" s="18"/>
      <c r="T24" s="18"/>
    </row>
    <row r="25" spans="1:20" ht="12.75" customHeight="1">
      <c r="A25" s="19"/>
      <c r="B25" s="28"/>
      <c r="C25" s="29"/>
      <c r="D25" s="29"/>
      <c r="E25" s="29"/>
      <c r="F25" s="29"/>
      <c r="G25" s="29">
        <v>16</v>
      </c>
      <c r="H25" s="551" t="s">
        <v>39</v>
      </c>
      <c r="I25" s="552"/>
      <c r="J25" s="552"/>
      <c r="K25" s="280">
        <v>3</v>
      </c>
      <c r="L25" s="315"/>
      <c r="M25" s="312">
        <f>IF(GE&gt;=16,GE-16,0)</f>
        <v>0</v>
      </c>
      <c r="N25" s="277"/>
      <c r="O25" s="288"/>
      <c r="P25" s="306"/>
      <c r="Q25" s="291">
        <f t="shared" si="1"/>
        <v>3</v>
      </c>
      <c r="R25" s="21"/>
      <c r="S25" s="18"/>
      <c r="T25" s="18"/>
    </row>
    <row r="26" spans="1:20" ht="12.75" customHeight="1">
      <c r="A26" s="19"/>
      <c r="B26" s="28"/>
      <c r="C26" s="29"/>
      <c r="D26" s="29"/>
      <c r="E26" s="29">
        <v>16</v>
      </c>
      <c r="F26" s="29"/>
      <c r="G26" s="29"/>
      <c r="H26" s="551" t="s">
        <v>74</v>
      </c>
      <c r="I26" s="552"/>
      <c r="J26" s="552"/>
      <c r="K26" s="280">
        <v>8</v>
      </c>
      <c r="L26" s="315"/>
      <c r="M26" s="312">
        <f>IF(AUSD&gt;=16,AUSD-16,0)</f>
        <v>4</v>
      </c>
      <c r="N26" s="277">
        <v>1</v>
      </c>
      <c r="O26" s="288"/>
      <c r="P26" s="306"/>
      <c r="Q26" s="291">
        <f t="shared" si="1"/>
        <v>13</v>
      </c>
      <c r="R26" s="21"/>
      <c r="S26" s="18"/>
      <c r="T26" s="18"/>
    </row>
    <row r="27" spans="1:20" ht="12.75" customHeight="1" thickBot="1">
      <c r="A27" s="19"/>
      <c r="B27" s="30"/>
      <c r="C27" s="31"/>
      <c r="D27" s="31"/>
      <c r="E27" s="31">
        <v>17</v>
      </c>
      <c r="F27" s="31"/>
      <c r="G27" s="31"/>
      <c r="H27" s="549" t="s">
        <v>75</v>
      </c>
      <c r="I27" s="550"/>
      <c r="J27" s="550"/>
      <c r="K27" s="281">
        <v>10</v>
      </c>
      <c r="L27" s="316"/>
      <c r="M27" s="313">
        <f>IF(AUSD&gt;=17,AUSD-17,0)</f>
        <v>3</v>
      </c>
      <c r="N27" s="278"/>
      <c r="O27" s="289"/>
      <c r="P27" s="307"/>
      <c r="Q27" s="292">
        <f t="shared" si="1"/>
        <v>13</v>
      </c>
      <c r="R27" s="21"/>
      <c r="S27" s="18"/>
      <c r="T27" s="18"/>
    </row>
    <row r="28" spans="1:20" ht="9" customHeight="1" thickBot="1">
      <c r="A28" s="19"/>
      <c r="B28" s="32"/>
      <c r="C28" s="32"/>
      <c r="D28" s="32"/>
      <c r="E28" s="32"/>
      <c r="F28" s="32"/>
      <c r="G28" s="32"/>
      <c r="H28" s="104"/>
      <c r="I28" s="104"/>
      <c r="J28" s="104"/>
      <c r="K28" s="282"/>
      <c r="L28" s="282"/>
      <c r="M28" s="282"/>
      <c r="N28" s="282"/>
      <c r="O28" s="282"/>
      <c r="P28" s="308"/>
      <c r="Q28" s="270"/>
      <c r="R28" s="21"/>
      <c r="S28" s="18"/>
      <c r="T28" s="18"/>
    </row>
    <row r="29" spans="1:20" ht="12.75" customHeight="1" thickBot="1">
      <c r="A29" s="19"/>
      <c r="B29" s="322" t="s">
        <v>19</v>
      </c>
      <c r="C29" s="310" t="s">
        <v>20</v>
      </c>
      <c r="D29" s="323" t="s">
        <v>166</v>
      </c>
      <c r="E29" s="310" t="s">
        <v>21</v>
      </c>
      <c r="F29" s="310" t="s">
        <v>22</v>
      </c>
      <c r="G29" s="310" t="s">
        <v>23</v>
      </c>
      <c r="H29" s="275" t="s">
        <v>40</v>
      </c>
      <c r="I29" s="276"/>
      <c r="J29" s="276"/>
      <c r="K29" s="286"/>
      <c r="L29" s="286"/>
      <c r="M29" s="286"/>
      <c r="N29" s="286"/>
      <c r="O29" s="286"/>
      <c r="P29" s="309"/>
      <c r="Q29" s="271"/>
      <c r="R29" s="21"/>
      <c r="S29" s="18"/>
      <c r="T29" s="18"/>
    </row>
    <row r="30" spans="1:20" ht="12.75" customHeight="1">
      <c r="A30" s="19"/>
      <c r="B30" s="26"/>
      <c r="C30" s="27">
        <v>18</v>
      </c>
      <c r="D30" s="27">
        <v>17</v>
      </c>
      <c r="E30" s="27"/>
      <c r="F30" s="27"/>
      <c r="G30" s="27"/>
      <c r="H30" s="554" t="s">
        <v>200</v>
      </c>
      <c r="I30" s="555"/>
      <c r="J30" s="555"/>
      <c r="K30" s="283">
        <v>7</v>
      </c>
      <c r="L30" s="314"/>
      <c r="M30" s="311">
        <f>SUM(IF(KL&gt;=18,KL-18,0),IF(WEI&gt;=17,WEI-17,0))</f>
        <v>0</v>
      </c>
      <c r="N30" s="279"/>
      <c r="O30" s="287"/>
      <c r="P30" s="305"/>
      <c r="Q30" s="290">
        <f aca="true" t="shared" si="2" ref="Q30:Q38">IF(SUM(K30:N30)&gt;27,27,(SUM(K30:N30)))</f>
        <v>7</v>
      </c>
      <c r="R30" s="21"/>
      <c r="S30" s="18"/>
      <c r="T30" s="18"/>
    </row>
    <row r="31" spans="1:20" ht="12.75" customHeight="1">
      <c r="A31" s="19"/>
      <c r="B31" s="28"/>
      <c r="C31" s="29"/>
      <c r="D31" s="29">
        <v>17</v>
      </c>
      <c r="E31" s="29"/>
      <c r="F31" s="29"/>
      <c r="G31" s="29"/>
      <c r="H31" s="551" t="s">
        <v>41</v>
      </c>
      <c r="I31" s="552"/>
      <c r="J31" s="552"/>
      <c r="K31" s="280">
        <v>5</v>
      </c>
      <c r="L31" s="315"/>
      <c r="M31" s="312">
        <f>IF(WEI&gt;=17,WEI-17,0)</f>
        <v>0</v>
      </c>
      <c r="N31" s="277">
        <v>2</v>
      </c>
      <c r="O31" s="288"/>
      <c r="P31" s="306"/>
      <c r="Q31" s="291">
        <f t="shared" si="2"/>
        <v>7</v>
      </c>
      <c r="R31" s="21"/>
      <c r="S31" s="18"/>
      <c r="T31" s="18"/>
    </row>
    <row r="32" spans="1:20" ht="12.75" customHeight="1">
      <c r="A32" s="19"/>
      <c r="B32" s="28"/>
      <c r="C32" s="29"/>
      <c r="D32" s="29">
        <v>18</v>
      </c>
      <c r="E32" s="29"/>
      <c r="F32" s="29"/>
      <c r="G32" s="29"/>
      <c r="H32" s="551" t="s">
        <v>42</v>
      </c>
      <c r="I32" s="552"/>
      <c r="J32" s="552"/>
      <c r="K32" s="280">
        <v>8</v>
      </c>
      <c r="L32" s="315"/>
      <c r="M32" s="312">
        <f>IF(WEI&gt;=18,WEI-18,0)</f>
        <v>0</v>
      </c>
      <c r="N32" s="277"/>
      <c r="O32" s="288"/>
      <c r="P32" s="306"/>
      <c r="Q32" s="291">
        <f t="shared" si="2"/>
        <v>8</v>
      </c>
      <c r="R32" s="21"/>
      <c r="S32" s="18"/>
      <c r="T32" s="18"/>
    </row>
    <row r="33" spans="1:20" ht="12.75" customHeight="1">
      <c r="A33" s="19"/>
      <c r="B33" s="28"/>
      <c r="C33" s="29"/>
      <c r="D33" s="29">
        <v>16</v>
      </c>
      <c r="E33" s="29"/>
      <c r="F33" s="29"/>
      <c r="G33" s="29"/>
      <c r="H33" s="551" t="s">
        <v>43</v>
      </c>
      <c r="I33" s="552"/>
      <c r="J33" s="552"/>
      <c r="K33" s="285">
        <v>8</v>
      </c>
      <c r="L33" s="315"/>
      <c r="M33" s="312">
        <f>IF(WEI&gt;=16,WEI-16,0)</f>
        <v>0</v>
      </c>
      <c r="N33" s="277"/>
      <c r="O33" s="288"/>
      <c r="P33" s="306"/>
      <c r="Q33" s="291">
        <f t="shared" si="2"/>
        <v>8</v>
      </c>
      <c r="R33" s="21"/>
      <c r="S33" s="18"/>
      <c r="T33" s="18"/>
    </row>
    <row r="34" spans="1:20" ht="12.75" customHeight="1">
      <c r="A34" s="19"/>
      <c r="B34" s="28"/>
      <c r="C34" s="29"/>
      <c r="D34" s="29">
        <v>16</v>
      </c>
      <c r="E34" s="29"/>
      <c r="F34" s="29"/>
      <c r="G34" s="29"/>
      <c r="H34" s="551" t="s">
        <v>44</v>
      </c>
      <c r="I34" s="552"/>
      <c r="J34" s="552"/>
      <c r="K34" s="280">
        <v>4</v>
      </c>
      <c r="L34" s="315"/>
      <c r="M34" s="312">
        <f>IF(WEI&gt;=16,WEI-16,0)</f>
        <v>0</v>
      </c>
      <c r="N34" s="277">
        <v>1</v>
      </c>
      <c r="O34" s="288"/>
      <c r="P34" s="306"/>
      <c r="Q34" s="291">
        <f t="shared" si="2"/>
        <v>5</v>
      </c>
      <c r="R34" s="21"/>
      <c r="S34" s="18"/>
      <c r="T34" s="18"/>
    </row>
    <row r="35" spans="1:20" ht="12.75" customHeight="1">
      <c r="A35" s="19"/>
      <c r="B35" s="28">
        <v>17</v>
      </c>
      <c r="C35" s="29"/>
      <c r="D35" s="29"/>
      <c r="E35" s="29"/>
      <c r="F35" s="29"/>
      <c r="G35" s="29">
        <v>20</v>
      </c>
      <c r="H35" s="551" t="s">
        <v>45</v>
      </c>
      <c r="I35" s="552"/>
      <c r="J35" s="552"/>
      <c r="K35" s="280">
        <v>8</v>
      </c>
      <c r="L35" s="315"/>
      <c r="M35" s="312">
        <f>SUM(IF(AUSS&gt;=17,AUSS-17,0),IF(GE&gt;=20,GE-20,0))</f>
        <v>0</v>
      </c>
      <c r="N35" s="277">
        <v>1</v>
      </c>
      <c r="O35" s="288"/>
      <c r="P35" s="306"/>
      <c r="Q35" s="291">
        <f t="shared" si="2"/>
        <v>9</v>
      </c>
      <c r="R35" s="21"/>
      <c r="S35" s="18"/>
      <c r="T35" s="18"/>
    </row>
    <row r="36" spans="1:20" ht="12.75" customHeight="1">
      <c r="A36" s="19"/>
      <c r="B36" s="28"/>
      <c r="C36" s="29">
        <v>17</v>
      </c>
      <c r="D36" s="29">
        <v>17</v>
      </c>
      <c r="E36" s="29"/>
      <c r="F36" s="29"/>
      <c r="G36" s="29"/>
      <c r="H36" s="551" t="s">
        <v>46</v>
      </c>
      <c r="I36" s="552"/>
      <c r="J36" s="552"/>
      <c r="K36" s="280">
        <v>8</v>
      </c>
      <c r="L36" s="315"/>
      <c r="M36" s="312">
        <f>SUM(IF(KL&gt;=17,KL-17,0),IF(WEI&gt;=17,WEI-17,0))</f>
        <v>0</v>
      </c>
      <c r="N36" s="277"/>
      <c r="O36" s="288"/>
      <c r="P36" s="306"/>
      <c r="Q36" s="291">
        <f t="shared" si="2"/>
        <v>8</v>
      </c>
      <c r="R36" s="21"/>
      <c r="S36" s="18"/>
      <c r="T36" s="18"/>
    </row>
    <row r="37" spans="1:20" ht="12.75" customHeight="1">
      <c r="A37" s="19"/>
      <c r="B37" s="28"/>
      <c r="C37" s="29"/>
      <c r="D37" s="29"/>
      <c r="E37" s="29"/>
      <c r="F37" s="29"/>
      <c r="G37" s="29">
        <v>16</v>
      </c>
      <c r="H37" s="551" t="s">
        <v>47</v>
      </c>
      <c r="I37" s="552"/>
      <c r="J37" s="552"/>
      <c r="K37" s="280">
        <v>9</v>
      </c>
      <c r="L37" s="315"/>
      <c r="M37" s="312">
        <f>IF(GE&gt;=16,GE-16,0)</f>
        <v>0</v>
      </c>
      <c r="N37" s="277"/>
      <c r="O37" s="288"/>
      <c r="P37" s="306"/>
      <c r="Q37" s="291">
        <f t="shared" si="2"/>
        <v>9</v>
      </c>
      <c r="R37" s="21"/>
      <c r="S37" s="18"/>
      <c r="T37" s="18"/>
    </row>
    <row r="38" spans="1:20" ht="12.75" customHeight="1" thickBot="1">
      <c r="A38" s="19"/>
      <c r="B38" s="30"/>
      <c r="C38" s="31">
        <v>16</v>
      </c>
      <c r="D38" s="31"/>
      <c r="E38" s="31"/>
      <c r="F38" s="31"/>
      <c r="G38" s="31"/>
      <c r="H38" s="551" t="s">
        <v>48</v>
      </c>
      <c r="I38" s="552"/>
      <c r="J38" s="552"/>
      <c r="K38" s="280">
        <v>9</v>
      </c>
      <c r="L38" s="315"/>
      <c r="M38" s="312">
        <f>IF(KL&gt;=16,KL-16,0)</f>
        <v>0</v>
      </c>
      <c r="N38" s="277">
        <v>1</v>
      </c>
      <c r="O38" s="288"/>
      <c r="P38" s="306"/>
      <c r="Q38" s="291">
        <f t="shared" si="2"/>
        <v>10</v>
      </c>
      <c r="R38" s="21"/>
      <c r="S38" s="18"/>
      <c r="T38" s="18"/>
    </row>
    <row r="39" spans="1:20" ht="12.75" customHeight="1" thickBot="1">
      <c r="A39" s="19"/>
      <c r="B39" s="570" t="s">
        <v>76</v>
      </c>
      <c r="C39" s="571"/>
      <c r="D39" s="571"/>
      <c r="E39" s="571"/>
      <c r="F39" s="571"/>
      <c r="G39" s="572"/>
      <c r="H39" s="549" t="s">
        <v>77</v>
      </c>
      <c r="I39" s="550"/>
      <c r="J39" s="550"/>
      <c r="K39" s="281"/>
      <c r="L39" s="316"/>
      <c r="M39" s="313"/>
      <c r="N39" s="278"/>
      <c r="O39" s="289"/>
      <c r="P39" s="307"/>
      <c r="Q39" s="293">
        <f>IF(ROUND((Naturbeobachtung+Tiere_zähmen+Reiten)/3,0)+L39&gt;27,27,ROUND((Naturbeobachtung+Tiere_zähmen+Reiten)/3,0)+L39)</f>
        <v>7</v>
      </c>
      <c r="R39" s="21"/>
      <c r="S39" s="18"/>
      <c r="T39" s="18"/>
    </row>
    <row r="40" spans="1:20" ht="9" customHeight="1" thickBot="1">
      <c r="A40" s="19"/>
      <c r="B40" s="32"/>
      <c r="C40" s="32"/>
      <c r="D40" s="32"/>
      <c r="E40" s="32"/>
      <c r="F40" s="32"/>
      <c r="G40" s="32"/>
      <c r="H40" s="104"/>
      <c r="I40" s="104"/>
      <c r="J40" s="104"/>
      <c r="K40" s="282"/>
      <c r="L40" s="282"/>
      <c r="M40" s="282"/>
      <c r="N40" s="282"/>
      <c r="O40" s="282"/>
      <c r="P40" s="308"/>
      <c r="Q40" s="270"/>
      <c r="R40" s="21"/>
      <c r="S40" s="18"/>
      <c r="T40" s="18"/>
    </row>
    <row r="41" spans="1:20" ht="12.75" customHeight="1" thickBot="1">
      <c r="A41" s="19"/>
      <c r="B41" s="322" t="s">
        <v>19</v>
      </c>
      <c r="C41" s="310" t="s">
        <v>20</v>
      </c>
      <c r="D41" s="323" t="s">
        <v>166</v>
      </c>
      <c r="E41" s="310" t="s">
        <v>21</v>
      </c>
      <c r="F41" s="310" t="s">
        <v>22</v>
      </c>
      <c r="G41" s="310" t="s">
        <v>23</v>
      </c>
      <c r="H41" s="557" t="s">
        <v>49</v>
      </c>
      <c r="I41" s="557"/>
      <c r="J41" s="557"/>
      <c r="K41" s="286"/>
      <c r="L41" s="286"/>
      <c r="M41" s="286"/>
      <c r="N41" s="286"/>
      <c r="O41" s="286"/>
      <c r="P41" s="309"/>
      <c r="Q41" s="271"/>
      <c r="R41" s="21"/>
      <c r="S41" s="18"/>
      <c r="T41" s="18"/>
    </row>
    <row r="42" spans="1:20" ht="12.75" customHeight="1">
      <c r="A42" s="19"/>
      <c r="B42" s="26"/>
      <c r="C42" s="27">
        <v>17</v>
      </c>
      <c r="D42" s="27">
        <v>18</v>
      </c>
      <c r="E42" s="27"/>
      <c r="F42" s="27"/>
      <c r="G42" s="27"/>
      <c r="H42" s="554" t="s">
        <v>50</v>
      </c>
      <c r="I42" s="555"/>
      <c r="J42" s="573"/>
      <c r="K42" s="283">
        <v>2</v>
      </c>
      <c r="L42" s="314"/>
      <c r="M42" s="311">
        <f>SUM(IF(KL&gt;=17,KL-17,0),IF(WEI&gt;=18,WEI-18,0))</f>
        <v>0</v>
      </c>
      <c r="N42" s="279"/>
      <c r="O42" s="287"/>
      <c r="P42" s="305"/>
      <c r="Q42" s="290">
        <f aca="true" t="shared" si="3" ref="Q42:Q53">IF(SUM(K42:N42)&gt;27,27,(SUM(K42:N42)))</f>
        <v>2</v>
      </c>
      <c r="R42" s="21"/>
      <c r="S42" s="18"/>
      <c r="T42" s="18"/>
    </row>
    <row r="43" spans="1:20" ht="12.75" customHeight="1">
      <c r="A43" s="19"/>
      <c r="B43" s="28"/>
      <c r="C43" s="29">
        <v>18</v>
      </c>
      <c r="D43" s="29">
        <v>18</v>
      </c>
      <c r="E43" s="29"/>
      <c r="F43" s="29"/>
      <c r="G43" s="29">
        <v>20</v>
      </c>
      <c r="H43" s="551" t="s">
        <v>78</v>
      </c>
      <c r="I43" s="552"/>
      <c r="J43" s="553"/>
      <c r="K43" s="280">
        <v>4</v>
      </c>
      <c r="L43" s="315"/>
      <c r="M43" s="312">
        <f>SUM(IF(KL&gt;=18,KL-18,0),IF(WEI&gt;=18,WEI-18,0),IF(GE&gt;=20,GE-20,0))</f>
        <v>0</v>
      </c>
      <c r="N43" s="277"/>
      <c r="O43" s="288"/>
      <c r="P43" s="306"/>
      <c r="Q43" s="291">
        <f t="shared" si="3"/>
        <v>4</v>
      </c>
      <c r="R43" s="21"/>
      <c r="S43" s="18"/>
      <c r="T43" s="18"/>
    </row>
    <row r="44" spans="1:20" ht="12.75" customHeight="1">
      <c r="A44" s="19"/>
      <c r="B44" s="28"/>
      <c r="C44" s="29">
        <v>20</v>
      </c>
      <c r="D44" s="29">
        <v>24</v>
      </c>
      <c r="E44" s="29"/>
      <c r="F44" s="29"/>
      <c r="G44" s="29">
        <v>22</v>
      </c>
      <c r="H44" s="551" t="s">
        <v>79</v>
      </c>
      <c r="I44" s="552"/>
      <c r="J44" s="553"/>
      <c r="K44" s="280">
        <v>2</v>
      </c>
      <c r="L44" s="315"/>
      <c r="M44" s="312">
        <f>SUM(IF(KL&gt;=20,KL-20,0),IF(WEI&gt;=24,WEI-24,0),IF(GE&gt;=22,GE-22,0))</f>
        <v>0</v>
      </c>
      <c r="N44" s="277"/>
      <c r="O44" s="288"/>
      <c r="P44" s="306"/>
      <c r="Q44" s="291">
        <f t="shared" si="3"/>
        <v>2</v>
      </c>
      <c r="R44" s="21"/>
      <c r="S44" s="18"/>
      <c r="T44" s="18"/>
    </row>
    <row r="45" spans="1:20" ht="12.75" customHeight="1">
      <c r="A45" s="19"/>
      <c r="B45" s="28"/>
      <c r="C45" s="29">
        <v>18</v>
      </c>
      <c r="D45" s="29">
        <v>17</v>
      </c>
      <c r="E45" s="29"/>
      <c r="F45" s="29"/>
      <c r="G45" s="29"/>
      <c r="H45" s="551" t="s">
        <v>51</v>
      </c>
      <c r="I45" s="552"/>
      <c r="J45" s="553"/>
      <c r="K45" s="280">
        <v>5</v>
      </c>
      <c r="L45" s="315"/>
      <c r="M45" s="312">
        <f>SUM(IF(KL&gt;=18,KL-18,0),IF(WEI&gt;=17,WEI-17,0))</f>
        <v>0</v>
      </c>
      <c r="N45" s="277"/>
      <c r="O45" s="288"/>
      <c r="P45" s="306"/>
      <c r="Q45" s="291">
        <f t="shared" si="3"/>
        <v>5</v>
      </c>
      <c r="R45" s="21"/>
      <c r="S45" s="18"/>
      <c r="T45" s="18"/>
    </row>
    <row r="46" spans="1:20" ht="12.75" customHeight="1">
      <c r="A46" s="19"/>
      <c r="B46" s="28"/>
      <c r="C46" s="29">
        <v>18</v>
      </c>
      <c r="D46" s="29">
        <v>18</v>
      </c>
      <c r="E46" s="29"/>
      <c r="F46" s="29"/>
      <c r="G46" s="29"/>
      <c r="H46" s="551" t="s">
        <v>80</v>
      </c>
      <c r="I46" s="552"/>
      <c r="J46" s="553"/>
      <c r="K46" s="280">
        <v>4</v>
      </c>
      <c r="L46" s="315"/>
      <c r="M46" s="312">
        <f>SUM(IF(KL&gt;=18,KL-18,0),IF(WEI&gt;=18,WEI-18,0))</f>
        <v>0</v>
      </c>
      <c r="N46" s="277"/>
      <c r="O46" s="288"/>
      <c r="P46" s="306"/>
      <c r="Q46" s="291">
        <f t="shared" si="3"/>
        <v>4</v>
      </c>
      <c r="R46" s="21"/>
      <c r="S46" s="18"/>
      <c r="T46" s="18"/>
    </row>
    <row r="47" spans="1:20" ht="12.75" customHeight="1">
      <c r="A47" s="19"/>
      <c r="B47" s="28"/>
      <c r="C47" s="29">
        <v>18</v>
      </c>
      <c r="D47" s="29">
        <v>18</v>
      </c>
      <c r="E47" s="29"/>
      <c r="F47" s="29"/>
      <c r="G47" s="29"/>
      <c r="H47" s="551" t="s">
        <v>52</v>
      </c>
      <c r="I47" s="552"/>
      <c r="J47" s="553"/>
      <c r="K47" s="280">
        <v>4</v>
      </c>
      <c r="L47" s="315"/>
      <c r="M47" s="312">
        <f>SUM(IF(KL&gt;=18,KL-18,0),IF(WEI&gt;=18,WEI-18,0))</f>
        <v>0</v>
      </c>
      <c r="N47" s="277"/>
      <c r="O47" s="288"/>
      <c r="P47" s="306"/>
      <c r="Q47" s="291">
        <f t="shared" si="3"/>
        <v>4</v>
      </c>
      <c r="R47" s="21"/>
      <c r="S47" s="18"/>
      <c r="T47" s="18"/>
    </row>
    <row r="48" spans="1:20" ht="12.75" customHeight="1">
      <c r="A48" s="19"/>
      <c r="B48" s="28"/>
      <c r="C48" s="29">
        <v>18</v>
      </c>
      <c r="D48" s="29">
        <v>18</v>
      </c>
      <c r="E48" s="29"/>
      <c r="F48" s="29"/>
      <c r="G48" s="29"/>
      <c r="H48" s="551" t="s">
        <v>53</v>
      </c>
      <c r="I48" s="552"/>
      <c r="J48" s="553"/>
      <c r="K48" s="280">
        <v>1</v>
      </c>
      <c r="L48" s="315"/>
      <c r="M48" s="312">
        <f>SUM(IF(KL&gt;=18,KL-18,0),IF(WEI&gt;=18,WEI-18,0))</f>
        <v>0</v>
      </c>
      <c r="N48" s="277"/>
      <c r="O48" s="288"/>
      <c r="P48" s="306"/>
      <c r="Q48" s="291">
        <f t="shared" si="3"/>
        <v>1</v>
      </c>
      <c r="R48" s="21"/>
      <c r="S48" s="18"/>
      <c r="T48" s="18"/>
    </row>
    <row r="49" spans="1:20" ht="12.75" customHeight="1">
      <c r="A49" s="19"/>
      <c r="B49" s="28"/>
      <c r="C49" s="29">
        <v>18</v>
      </c>
      <c r="D49" s="29">
        <v>18</v>
      </c>
      <c r="E49" s="29"/>
      <c r="F49" s="29"/>
      <c r="G49" s="29"/>
      <c r="H49" s="551" t="s">
        <v>54</v>
      </c>
      <c r="I49" s="552"/>
      <c r="J49" s="553"/>
      <c r="K49" s="280">
        <v>2</v>
      </c>
      <c r="L49" s="315"/>
      <c r="M49" s="312">
        <f>SUM(IF(KL&gt;=18,KL-18,0),IF(WEI&gt;=18,WEI-18,0))</f>
        <v>0</v>
      </c>
      <c r="N49" s="277"/>
      <c r="O49" s="288"/>
      <c r="P49" s="306"/>
      <c r="Q49" s="291">
        <f t="shared" si="3"/>
        <v>2</v>
      </c>
      <c r="R49" s="21"/>
      <c r="S49" s="18"/>
      <c r="T49" s="18"/>
    </row>
    <row r="50" spans="1:20" ht="12.75" customHeight="1">
      <c r="A50" s="19"/>
      <c r="B50" s="28"/>
      <c r="C50" s="29"/>
      <c r="D50" s="29">
        <v>16</v>
      </c>
      <c r="E50" s="29"/>
      <c r="F50" s="29"/>
      <c r="G50" s="29"/>
      <c r="H50" s="551" t="s">
        <v>55</v>
      </c>
      <c r="I50" s="552"/>
      <c r="J50" s="553"/>
      <c r="K50" s="280">
        <v>5</v>
      </c>
      <c r="L50" s="315"/>
      <c r="M50" s="312">
        <f>IF(WEI&gt;=16,WEI-16,0)</f>
        <v>0</v>
      </c>
      <c r="N50" s="277"/>
      <c r="O50" s="288"/>
      <c r="P50" s="306"/>
      <c r="Q50" s="291">
        <f t="shared" si="3"/>
        <v>5</v>
      </c>
      <c r="R50" s="21"/>
      <c r="S50" s="18"/>
      <c r="T50" s="18"/>
    </row>
    <row r="51" spans="1:20" ht="12.75" customHeight="1">
      <c r="A51" s="19"/>
      <c r="B51" s="28"/>
      <c r="C51" s="29">
        <v>16</v>
      </c>
      <c r="D51" s="29"/>
      <c r="E51" s="29"/>
      <c r="F51" s="29"/>
      <c r="G51" s="29">
        <v>18</v>
      </c>
      <c r="H51" s="551" t="s">
        <v>56</v>
      </c>
      <c r="I51" s="552"/>
      <c r="J51" s="553"/>
      <c r="K51" s="280">
        <v>3</v>
      </c>
      <c r="L51" s="315"/>
      <c r="M51" s="312">
        <f>SUM(IF(KL&gt;=16,KL-16,0),IF(GE&gt;=18,GE-18,0))</f>
        <v>0</v>
      </c>
      <c r="N51" s="277">
        <v>1</v>
      </c>
      <c r="O51" s="288"/>
      <c r="P51" s="306"/>
      <c r="Q51" s="291">
        <f t="shared" si="3"/>
        <v>4</v>
      </c>
      <c r="R51" s="21"/>
      <c r="S51" s="18"/>
      <c r="T51" s="18"/>
    </row>
    <row r="52" spans="1:20" ht="12.75" customHeight="1">
      <c r="A52" s="19"/>
      <c r="B52" s="28"/>
      <c r="C52" s="29">
        <v>17</v>
      </c>
      <c r="D52" s="29"/>
      <c r="E52" s="29"/>
      <c r="F52" s="29"/>
      <c r="G52" s="29">
        <v>22</v>
      </c>
      <c r="H52" s="551" t="s">
        <v>57</v>
      </c>
      <c r="I52" s="552"/>
      <c r="J52" s="553"/>
      <c r="K52" s="280">
        <v>4</v>
      </c>
      <c r="L52" s="315"/>
      <c r="M52" s="312">
        <f>SUM(IF(KL&gt;=17,KL-17,0),IF(GE&gt;=22,GE-22,0))</f>
        <v>0</v>
      </c>
      <c r="N52" s="277"/>
      <c r="O52" s="288"/>
      <c r="P52" s="306"/>
      <c r="Q52" s="291">
        <f t="shared" si="3"/>
        <v>4</v>
      </c>
      <c r="R52" s="21"/>
      <c r="S52" s="18"/>
      <c r="T52" s="18"/>
    </row>
    <row r="53" spans="1:20" ht="12.75" customHeight="1" thickBot="1">
      <c r="A53" s="19"/>
      <c r="B53" s="30"/>
      <c r="C53" s="31">
        <v>16</v>
      </c>
      <c r="D53" s="31"/>
      <c r="E53" s="31"/>
      <c r="F53" s="31"/>
      <c r="G53" s="31"/>
      <c r="H53" s="549" t="s">
        <v>58</v>
      </c>
      <c r="I53" s="550"/>
      <c r="J53" s="556"/>
      <c r="K53" s="281">
        <v>1</v>
      </c>
      <c r="L53" s="316"/>
      <c r="M53" s="313">
        <f>IF(KL&gt;=16,KL-16,0)</f>
        <v>0</v>
      </c>
      <c r="N53" s="278"/>
      <c r="O53" s="289"/>
      <c r="P53" s="307"/>
      <c r="Q53" s="292">
        <f t="shared" si="3"/>
        <v>1</v>
      </c>
      <c r="R53" s="21"/>
      <c r="S53" s="18"/>
      <c r="T53" s="18"/>
    </row>
    <row r="54" spans="1:20" ht="9" customHeight="1" thickBot="1">
      <c r="A54" s="19"/>
      <c r="B54" s="32"/>
      <c r="C54" s="32"/>
      <c r="D54" s="32"/>
      <c r="E54" s="32"/>
      <c r="F54" s="32"/>
      <c r="G54" s="32"/>
      <c r="H54" s="104"/>
      <c r="I54" s="104"/>
      <c r="J54" s="104"/>
      <c r="K54" s="282"/>
      <c r="L54" s="282"/>
      <c r="M54" s="282"/>
      <c r="N54" s="282"/>
      <c r="O54" s="282"/>
      <c r="P54" s="308"/>
      <c r="Q54" s="270"/>
      <c r="R54" s="21"/>
      <c r="S54" s="18"/>
      <c r="T54" s="18"/>
    </row>
    <row r="55" spans="1:20" ht="12.75" customHeight="1" thickBot="1">
      <c r="A55" s="19"/>
      <c r="B55" s="320" t="s">
        <v>19</v>
      </c>
      <c r="C55" s="310" t="s">
        <v>20</v>
      </c>
      <c r="D55" s="321" t="s">
        <v>166</v>
      </c>
      <c r="E55" s="310" t="s">
        <v>21</v>
      </c>
      <c r="F55" s="310" t="s">
        <v>22</v>
      </c>
      <c r="G55" s="310" t="s">
        <v>23</v>
      </c>
      <c r="H55" s="557" t="s">
        <v>59</v>
      </c>
      <c r="I55" s="557"/>
      <c r="J55" s="557"/>
      <c r="K55" s="286"/>
      <c r="L55" s="286"/>
      <c r="M55" s="286"/>
      <c r="N55" s="286"/>
      <c r="O55" s="286"/>
      <c r="P55" s="309"/>
      <c r="Q55" s="271"/>
      <c r="R55" s="21"/>
      <c r="S55" s="18"/>
      <c r="T55" s="18"/>
    </row>
    <row r="56" spans="1:20" ht="12.75" customHeight="1">
      <c r="A56" s="19"/>
      <c r="B56" s="26">
        <v>16</v>
      </c>
      <c r="C56" s="27"/>
      <c r="D56" s="27"/>
      <c r="E56" s="27"/>
      <c r="F56" s="27"/>
      <c r="G56" s="27"/>
      <c r="H56" s="554" t="s">
        <v>60</v>
      </c>
      <c r="I56" s="555"/>
      <c r="J56" s="555"/>
      <c r="K56" s="283">
        <v>5</v>
      </c>
      <c r="L56" s="314"/>
      <c r="M56" s="311">
        <f>IF(AUSS&gt;=16,AUSS-16,0)</f>
        <v>0</v>
      </c>
      <c r="N56" s="279"/>
      <c r="O56" s="287"/>
      <c r="P56" s="305"/>
      <c r="Q56" s="290">
        <f aca="true" t="shared" si="4" ref="Q56:Q63">IF(SUM(K56:N56)&gt;27,27,(SUM(K56:N56)))</f>
        <v>5</v>
      </c>
      <c r="R56" s="21"/>
      <c r="S56" s="18"/>
      <c r="T56" s="18"/>
    </row>
    <row r="57" spans="1:20" ht="12.75" customHeight="1">
      <c r="A57" s="19"/>
      <c r="B57" s="28">
        <v>17</v>
      </c>
      <c r="C57" s="29"/>
      <c r="D57" s="29">
        <v>17</v>
      </c>
      <c r="E57" s="29"/>
      <c r="F57" s="29"/>
      <c r="G57" s="29"/>
      <c r="H57" s="551" t="s">
        <v>61</v>
      </c>
      <c r="I57" s="552"/>
      <c r="J57" s="552"/>
      <c r="K57" s="280">
        <v>3</v>
      </c>
      <c r="L57" s="315"/>
      <c r="M57" s="312">
        <f>SUM(IF(AUSS&gt;=17,AUSS-17,0),IF(WEI&gt;=17,WEI-17,0))</f>
        <v>0</v>
      </c>
      <c r="N57" s="277">
        <v>1</v>
      </c>
      <c r="O57" s="288"/>
      <c r="P57" s="306"/>
      <c r="Q57" s="291">
        <f t="shared" si="4"/>
        <v>4</v>
      </c>
      <c r="R57" s="21"/>
      <c r="S57" s="18"/>
      <c r="T57" s="18"/>
    </row>
    <row r="58" spans="1:20" ht="12.75" customHeight="1">
      <c r="A58" s="19"/>
      <c r="B58" s="28">
        <v>16</v>
      </c>
      <c r="C58" s="29">
        <v>20</v>
      </c>
      <c r="D58" s="29"/>
      <c r="E58" s="29"/>
      <c r="F58" s="29"/>
      <c r="G58" s="29"/>
      <c r="H58" s="551" t="s">
        <v>191</v>
      </c>
      <c r="I58" s="552"/>
      <c r="J58" s="552"/>
      <c r="K58" s="280">
        <v>6</v>
      </c>
      <c r="L58" s="315"/>
      <c r="M58" s="312">
        <f>SUM(IF(AUSS&gt;=16,AUSS-16,0),IF(KL&gt;=20,KL-20,0))</f>
        <v>0</v>
      </c>
      <c r="N58" s="277"/>
      <c r="O58" s="288"/>
      <c r="P58" s="306"/>
      <c r="Q58" s="291">
        <f t="shared" si="4"/>
        <v>6</v>
      </c>
      <c r="R58" s="21"/>
      <c r="S58" s="18"/>
      <c r="T58" s="18"/>
    </row>
    <row r="59" spans="1:20" ht="12.75" customHeight="1">
      <c r="A59" s="19"/>
      <c r="B59" s="28">
        <v>18</v>
      </c>
      <c r="C59" s="29">
        <v>17</v>
      </c>
      <c r="D59" s="29"/>
      <c r="E59" s="29"/>
      <c r="F59" s="29"/>
      <c r="G59" s="29"/>
      <c r="H59" s="551" t="s">
        <v>62</v>
      </c>
      <c r="I59" s="552"/>
      <c r="J59" s="552"/>
      <c r="K59" s="280">
        <v>5</v>
      </c>
      <c r="L59" s="315"/>
      <c r="M59" s="312">
        <f>SUM(IF(AUSS&gt;=18,AUSS-18,0),IF(KL&gt;=17,KL-17,0))</f>
        <v>0</v>
      </c>
      <c r="N59" s="277"/>
      <c r="O59" s="288"/>
      <c r="P59" s="306"/>
      <c r="Q59" s="291">
        <f t="shared" si="4"/>
        <v>5</v>
      </c>
      <c r="R59" s="21"/>
      <c r="S59" s="18"/>
      <c r="T59" s="18"/>
    </row>
    <row r="60" spans="1:20" ht="12.75" customHeight="1">
      <c r="A60" s="19"/>
      <c r="B60" s="28">
        <v>16</v>
      </c>
      <c r="C60" s="29"/>
      <c r="D60" s="29"/>
      <c r="E60" s="29"/>
      <c r="F60" s="29"/>
      <c r="G60" s="29"/>
      <c r="H60" s="551" t="s">
        <v>63</v>
      </c>
      <c r="I60" s="552"/>
      <c r="J60" s="552"/>
      <c r="K60" s="280">
        <v>6</v>
      </c>
      <c r="L60" s="315"/>
      <c r="M60" s="312">
        <f>IF(AUSS&gt;=16,AUSS-16,0)</f>
        <v>0</v>
      </c>
      <c r="N60" s="277"/>
      <c r="O60" s="288"/>
      <c r="P60" s="306"/>
      <c r="Q60" s="291">
        <f t="shared" si="4"/>
        <v>6</v>
      </c>
      <c r="R60" s="21"/>
      <c r="S60" s="18"/>
      <c r="T60" s="18"/>
    </row>
    <row r="61" spans="1:20" ht="12.75" customHeight="1">
      <c r="A61" s="19"/>
      <c r="B61" s="28">
        <v>16</v>
      </c>
      <c r="C61" s="29"/>
      <c r="D61" s="29"/>
      <c r="E61" s="29"/>
      <c r="F61" s="29"/>
      <c r="G61" s="29"/>
      <c r="H61" s="551" t="s">
        <v>64</v>
      </c>
      <c r="I61" s="552"/>
      <c r="J61" s="552"/>
      <c r="K61" s="280">
        <v>5</v>
      </c>
      <c r="L61" s="315"/>
      <c r="M61" s="312">
        <f>IF(AUSS&gt;=16,AUSS-16,0)</f>
        <v>0</v>
      </c>
      <c r="N61" s="277"/>
      <c r="O61" s="288"/>
      <c r="P61" s="306"/>
      <c r="Q61" s="291">
        <f t="shared" si="4"/>
        <v>5</v>
      </c>
      <c r="R61" s="21"/>
      <c r="S61" s="18"/>
      <c r="T61" s="18"/>
    </row>
    <row r="62" spans="1:20" ht="12.75" customHeight="1">
      <c r="A62" s="19"/>
      <c r="B62" s="28">
        <v>16</v>
      </c>
      <c r="C62" s="29"/>
      <c r="D62" s="29"/>
      <c r="E62" s="29"/>
      <c r="F62" s="29"/>
      <c r="G62" s="29"/>
      <c r="H62" s="551" t="s">
        <v>65</v>
      </c>
      <c r="I62" s="552"/>
      <c r="J62" s="552"/>
      <c r="K62" s="285">
        <v>5</v>
      </c>
      <c r="L62" s="315"/>
      <c r="M62" s="312">
        <f>IF(AUSS&gt;=16,AUSS-16,0)</f>
        <v>0</v>
      </c>
      <c r="N62" s="277"/>
      <c r="O62" s="288"/>
      <c r="P62" s="306"/>
      <c r="Q62" s="291">
        <f t="shared" si="4"/>
        <v>5</v>
      </c>
      <c r="R62" s="21"/>
      <c r="S62" s="18"/>
      <c r="T62" s="18"/>
    </row>
    <row r="63" spans="1:20" ht="12.75" customHeight="1" thickBot="1">
      <c r="A63" s="19"/>
      <c r="B63" s="30">
        <v>18</v>
      </c>
      <c r="C63" s="31"/>
      <c r="D63" s="31"/>
      <c r="E63" s="31"/>
      <c r="F63" s="31"/>
      <c r="G63" s="31">
        <v>17</v>
      </c>
      <c r="H63" s="549" t="s">
        <v>66</v>
      </c>
      <c r="I63" s="550"/>
      <c r="J63" s="550"/>
      <c r="K63" s="281">
        <v>8</v>
      </c>
      <c r="L63" s="316"/>
      <c r="M63" s="313">
        <f>SUM(IF(AUSS&gt;=18,AUSS-18,0),IF(GE&gt;=17,GE-17,0))</f>
        <v>0</v>
      </c>
      <c r="N63" s="278"/>
      <c r="O63" s="289"/>
      <c r="P63" s="307"/>
      <c r="Q63" s="292">
        <f t="shared" si="4"/>
        <v>8</v>
      </c>
      <c r="R63" s="21"/>
      <c r="S63" s="18"/>
      <c r="T63" s="18"/>
    </row>
    <row r="64" spans="1:20" ht="12.75" customHeight="1" thickBot="1">
      <c r="A64" s="19"/>
      <c r="B64" s="32"/>
      <c r="C64" s="32"/>
      <c r="D64" s="32"/>
      <c r="E64" s="32"/>
      <c r="F64" s="32"/>
      <c r="G64" s="32"/>
      <c r="H64" s="23"/>
      <c r="I64" s="23"/>
      <c r="J64" s="23"/>
      <c r="K64" s="20"/>
      <c r="L64" s="20"/>
      <c r="M64" s="20"/>
      <c r="N64" s="20"/>
      <c r="O64" s="20"/>
      <c r="P64" s="20"/>
      <c r="Q64" s="20"/>
      <c r="R64" s="21"/>
      <c r="S64" s="18"/>
      <c r="T64" s="18"/>
    </row>
    <row r="65" spans="1:20" ht="12.75" customHeight="1" thickBot="1">
      <c r="A65" s="19"/>
      <c r="B65" s="24"/>
      <c r="C65" s="24"/>
      <c r="D65" s="24"/>
      <c r="E65" s="24"/>
      <c r="F65" s="24"/>
      <c r="G65" s="24"/>
      <c r="H65" s="317" t="s">
        <v>167</v>
      </c>
      <c r="I65" s="325"/>
      <c r="J65" s="324" t="s">
        <v>190</v>
      </c>
      <c r="K65" s="568" t="s">
        <v>157</v>
      </c>
      <c r="L65" s="569"/>
      <c r="M65" s="569"/>
      <c r="N65" s="569"/>
      <c r="O65" s="569"/>
      <c r="P65" s="569"/>
      <c r="Q65" s="569"/>
      <c r="R65" s="21"/>
      <c r="S65" s="18"/>
      <c r="T65" s="18"/>
    </row>
    <row r="66" spans="1:20" ht="12.75" customHeight="1">
      <c r="A66" s="33"/>
      <c r="B66" s="34" t="s">
        <v>72</v>
      </c>
      <c r="C66" s="34" t="s">
        <v>73</v>
      </c>
      <c r="D66" s="35"/>
      <c r="E66" s="36"/>
      <c r="F66" s="36"/>
      <c r="G66" s="36"/>
      <c r="H66" s="37"/>
      <c r="I66" s="37"/>
      <c r="J66" s="37"/>
      <c r="K66" s="38"/>
      <c r="L66" s="38"/>
      <c r="M66" s="38"/>
      <c r="N66" s="38"/>
      <c r="O66" s="38"/>
      <c r="P66" s="301"/>
      <c r="Q66" s="302"/>
      <c r="R66" s="303"/>
      <c r="S66" s="18"/>
      <c r="T66" s="18"/>
    </row>
    <row r="67" spans="1:20" ht="12.75" customHeight="1">
      <c r="A67" s="23"/>
      <c r="B67" s="23"/>
      <c r="C67" s="23"/>
      <c r="D67" s="22"/>
      <c r="E67" s="22"/>
      <c r="F67" s="22"/>
      <c r="G67" s="22"/>
      <c r="H67" s="23"/>
      <c r="I67" s="23"/>
      <c r="J67" s="23"/>
      <c r="K67" s="20"/>
      <c r="L67" s="20"/>
      <c r="M67" s="20"/>
      <c r="N67" s="20"/>
      <c r="O67" s="20"/>
      <c r="P67" s="20"/>
      <c r="Q67" s="20"/>
      <c r="R67" s="20"/>
      <c r="S67" s="18"/>
      <c r="T67" s="18"/>
    </row>
    <row r="68" spans="1:20" ht="12.75" customHeight="1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</row>
    <row r="69" spans="1:20" ht="12.75" customHeight="1">
      <c r="A69" s="18"/>
      <c r="B69" s="39"/>
      <c r="C69" s="39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</row>
    <row r="70" spans="1:20" ht="12.75" customHeight="1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</row>
    <row r="71" spans="1:20" ht="12.75" customHeight="1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</row>
    <row r="72" spans="1:20" ht="12.75" customHeight="1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</row>
    <row r="73" spans="1:20" ht="12.75" customHeight="1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</row>
  </sheetData>
  <sheetProtection/>
  <protectedRanges>
    <protectedRange password="8E0B" sqref="P66:R66" name="Bereich1"/>
  </protectedRanges>
  <mergeCells count="63">
    <mergeCell ref="K65:Q65"/>
    <mergeCell ref="B39:G39"/>
    <mergeCell ref="H44:J44"/>
    <mergeCell ref="H45:J45"/>
    <mergeCell ref="H46:J46"/>
    <mergeCell ref="H39:J39"/>
    <mergeCell ref="H41:J41"/>
    <mergeCell ref="H42:J42"/>
    <mergeCell ref="H43:J43"/>
    <mergeCell ref="H62:J62"/>
    <mergeCell ref="H8:J8"/>
    <mergeCell ref="H9:J9"/>
    <mergeCell ref="Q2:Q7"/>
    <mergeCell ref="D4:I4"/>
    <mergeCell ref="B1:J2"/>
    <mergeCell ref="B4:C4"/>
    <mergeCell ref="H32:J32"/>
    <mergeCell ref="L2:L7"/>
    <mergeCell ref="M2:M7"/>
    <mergeCell ref="P2:P7"/>
    <mergeCell ref="H21:J21"/>
    <mergeCell ref="H22:J22"/>
    <mergeCell ref="O2:O7"/>
    <mergeCell ref="N2:N7"/>
    <mergeCell ref="H14:J14"/>
    <mergeCell ref="H15:J15"/>
    <mergeCell ref="H25:J25"/>
    <mergeCell ref="H26:J26"/>
    <mergeCell ref="H17:J17"/>
    <mergeCell ref="H12:J12"/>
    <mergeCell ref="H13:J13"/>
    <mergeCell ref="H31:J31"/>
    <mergeCell ref="H18:J18"/>
    <mergeCell ref="H19:J19"/>
    <mergeCell ref="H36:J36"/>
    <mergeCell ref="H23:J23"/>
    <mergeCell ref="H27:J27"/>
    <mergeCell ref="H20:J20"/>
    <mergeCell ref="H33:J33"/>
    <mergeCell ref="K2:K7"/>
    <mergeCell ref="H10:J10"/>
    <mergeCell ref="H11:J11"/>
    <mergeCell ref="H34:J34"/>
    <mergeCell ref="H24:J24"/>
    <mergeCell ref="H37:J37"/>
    <mergeCell ref="H30:J30"/>
    <mergeCell ref="H57:J57"/>
    <mergeCell ref="H58:J58"/>
    <mergeCell ref="H53:J53"/>
    <mergeCell ref="H55:J55"/>
    <mergeCell ref="H47:J47"/>
    <mergeCell ref="H48:J48"/>
    <mergeCell ref="H38:J38"/>
    <mergeCell ref="H35:J35"/>
    <mergeCell ref="H63:J63"/>
    <mergeCell ref="H49:J49"/>
    <mergeCell ref="H50:J50"/>
    <mergeCell ref="H51:J51"/>
    <mergeCell ref="H52:J52"/>
    <mergeCell ref="H60:J60"/>
    <mergeCell ref="H61:J61"/>
    <mergeCell ref="H59:J59"/>
    <mergeCell ref="H56:J56"/>
  </mergeCells>
  <hyperlinks>
    <hyperlink ref="K65" r:id="rId1" display="www.imdacil.de"/>
  </hyperlinks>
  <printOptions horizontalCentered="1" verticalCentered="1"/>
  <pageMargins left="0.3937007874015748" right="0.3937007874015748" top="0.1968503937007874" bottom="0.1968503937007874" header="0" footer="0"/>
  <pageSetup horizontalDpi="600" verticalDpi="600" orientation="portrait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O65"/>
  <sheetViews>
    <sheetView zoomScalePageLayoutView="0" workbookViewId="0" topLeftCell="A1">
      <selection activeCell="K5" sqref="K5"/>
    </sheetView>
  </sheetViews>
  <sheetFormatPr defaultColWidth="11.00390625" defaultRowHeight="15.75"/>
  <cols>
    <col min="1" max="1" width="1.25" style="3" customWidth="1"/>
    <col min="2" max="2" width="10.625" style="3" customWidth="1"/>
    <col min="3" max="4" width="12.625" style="3" customWidth="1"/>
    <col min="5" max="5" width="10.625" style="3" customWidth="1"/>
    <col min="6" max="7" width="12.625" style="3" customWidth="1"/>
    <col min="8" max="8" width="10.625" style="5" customWidth="1"/>
    <col min="9" max="9" width="1.25" style="3" customWidth="1"/>
    <col min="10" max="16384" width="11.00390625" style="3" customWidth="1"/>
  </cols>
  <sheetData>
    <row r="1" spans="1:9" ht="12.75">
      <c r="A1" s="100"/>
      <c r="B1" s="101"/>
      <c r="C1" s="101"/>
      <c r="D1" s="101"/>
      <c r="E1" s="101"/>
      <c r="F1" s="101"/>
      <c r="G1" s="101"/>
      <c r="H1" s="102"/>
      <c r="I1" s="103"/>
    </row>
    <row r="2" spans="1:9" ht="12.75" customHeight="1">
      <c r="A2" s="574" t="s">
        <v>0</v>
      </c>
      <c r="B2" s="575"/>
      <c r="C2" s="575"/>
      <c r="D2" s="575"/>
      <c r="E2" s="575"/>
      <c r="F2" s="575"/>
      <c r="G2" s="575"/>
      <c r="H2" s="575"/>
      <c r="I2" s="576"/>
    </row>
    <row r="3" spans="1:9" ht="12.75" customHeight="1">
      <c r="A3" s="574"/>
      <c r="B3" s="575"/>
      <c r="C3" s="575"/>
      <c r="D3" s="575"/>
      <c r="E3" s="575"/>
      <c r="F3" s="575"/>
      <c r="G3" s="575"/>
      <c r="H3" s="575"/>
      <c r="I3" s="576"/>
    </row>
    <row r="4" spans="1:9" ht="12.75" customHeight="1">
      <c r="A4" s="19"/>
      <c r="B4" s="23"/>
      <c r="C4" s="23"/>
      <c r="D4" s="23"/>
      <c r="E4" s="23"/>
      <c r="F4" s="23"/>
      <c r="G4" s="23"/>
      <c r="H4" s="40"/>
      <c r="I4" s="41"/>
    </row>
    <row r="5" spans="1:9" ht="12.75" customHeight="1">
      <c r="A5" s="577" t="s">
        <v>68</v>
      </c>
      <c r="B5" s="578"/>
      <c r="C5" s="578"/>
      <c r="D5" s="578"/>
      <c r="E5" s="578"/>
      <c r="F5" s="578"/>
      <c r="G5" s="578"/>
      <c r="H5" s="578"/>
      <c r="I5" s="579"/>
    </row>
    <row r="6" spans="1:9" ht="12.75" customHeight="1">
      <c r="A6" s="19"/>
      <c r="B6" s="23"/>
      <c r="C6" s="23"/>
      <c r="D6" s="23"/>
      <c r="E6" s="23"/>
      <c r="F6" s="23"/>
      <c r="G6" s="23"/>
      <c r="H6" s="40"/>
      <c r="I6" s="41"/>
    </row>
    <row r="7" spans="1:9" ht="12.75" customHeight="1">
      <c r="A7" s="19"/>
      <c r="B7" s="42" t="s">
        <v>2</v>
      </c>
      <c r="C7" s="564" t="str">
        <f>Name</f>
        <v>Iavera Artor</v>
      </c>
      <c r="D7" s="564"/>
      <c r="E7" s="564"/>
      <c r="F7" s="104"/>
      <c r="G7" s="104"/>
      <c r="H7" s="104"/>
      <c r="I7" s="41"/>
    </row>
    <row r="8" spans="1:9" ht="12.75" customHeight="1" thickBot="1">
      <c r="A8" s="19"/>
      <c r="B8" s="23"/>
      <c r="C8" s="23"/>
      <c r="D8" s="23"/>
      <c r="E8" s="23"/>
      <c r="F8" s="23"/>
      <c r="G8" s="23"/>
      <c r="H8" s="40"/>
      <c r="I8" s="41"/>
    </row>
    <row r="9" spans="1:9" ht="12.75" customHeight="1" thickBot="1">
      <c r="A9" s="19"/>
      <c r="B9" s="43" t="s">
        <v>69</v>
      </c>
      <c r="C9" s="520" t="s">
        <v>18</v>
      </c>
      <c r="D9" s="521"/>
      <c r="E9" s="161" t="s">
        <v>83</v>
      </c>
      <c r="F9" s="520" t="s">
        <v>18</v>
      </c>
      <c r="G9" s="522"/>
      <c r="H9" s="161" t="s">
        <v>83</v>
      </c>
      <c r="I9" s="41"/>
    </row>
    <row r="10" spans="1:9" ht="12.75" customHeight="1">
      <c r="A10" s="19"/>
      <c r="B10" s="44" t="s">
        <v>125</v>
      </c>
      <c r="C10" s="580" t="s">
        <v>250</v>
      </c>
      <c r="D10" s="581"/>
      <c r="E10" s="424">
        <v>40</v>
      </c>
      <c r="F10" s="582" t="s">
        <v>251</v>
      </c>
      <c r="G10" s="582"/>
      <c r="H10" s="425">
        <f>1200+30</f>
        <v>1230</v>
      </c>
      <c r="I10" s="41"/>
    </row>
    <row r="11" spans="1:9" ht="12.75" customHeight="1">
      <c r="A11" s="19"/>
      <c r="B11" s="44"/>
      <c r="C11" s="580" t="s">
        <v>126</v>
      </c>
      <c r="D11" s="581"/>
      <c r="E11" s="424">
        <v>700</v>
      </c>
      <c r="F11" s="581" t="s">
        <v>252</v>
      </c>
      <c r="G11" s="581"/>
      <c r="H11" s="426">
        <v>2000</v>
      </c>
      <c r="I11" s="41"/>
    </row>
    <row r="12" spans="1:15" ht="12.75" customHeight="1">
      <c r="A12" s="19"/>
      <c r="B12" s="44"/>
      <c r="C12" s="580" t="s">
        <v>253</v>
      </c>
      <c r="D12" s="581"/>
      <c r="E12" s="424">
        <v>500</v>
      </c>
      <c r="F12" s="583"/>
      <c r="G12" s="584"/>
      <c r="H12" s="426"/>
      <c r="I12" s="41"/>
      <c r="J12"/>
      <c r="K12"/>
      <c r="L12"/>
      <c r="M12"/>
      <c r="N12"/>
      <c r="O12"/>
    </row>
    <row r="13" spans="1:15" ht="12.75" customHeight="1">
      <c r="A13" s="19"/>
      <c r="B13" s="44"/>
      <c r="C13" s="580" t="s">
        <v>254</v>
      </c>
      <c r="D13" s="581"/>
      <c r="E13" s="424">
        <v>50</v>
      </c>
      <c r="F13" s="583"/>
      <c r="G13" s="584"/>
      <c r="H13" s="426"/>
      <c r="I13" s="41"/>
      <c r="J13"/>
      <c r="K13"/>
      <c r="L13"/>
      <c r="M13"/>
      <c r="N13"/>
      <c r="O13"/>
    </row>
    <row r="14" spans="1:15" ht="12.75" customHeight="1">
      <c r="A14" s="19"/>
      <c r="B14" s="44"/>
      <c r="C14" s="583" t="s">
        <v>261</v>
      </c>
      <c r="D14" s="584"/>
      <c r="E14" s="427">
        <v>240</v>
      </c>
      <c r="F14" s="583"/>
      <c r="G14" s="584"/>
      <c r="H14" s="426"/>
      <c r="I14" s="41"/>
      <c r="J14"/>
      <c r="K14"/>
      <c r="L14"/>
      <c r="M14"/>
      <c r="N14"/>
      <c r="O14"/>
    </row>
    <row r="15" spans="1:15" ht="12.75" customHeight="1">
      <c r="A15" s="19"/>
      <c r="B15" s="44"/>
      <c r="C15" s="583" t="s">
        <v>261</v>
      </c>
      <c r="D15" s="584"/>
      <c r="E15" s="427">
        <v>240</v>
      </c>
      <c r="F15" s="583"/>
      <c r="G15" s="584"/>
      <c r="H15" s="426"/>
      <c r="I15" s="41"/>
      <c r="J15"/>
      <c r="K15"/>
      <c r="L15"/>
      <c r="M15"/>
      <c r="N15"/>
      <c r="O15"/>
    </row>
    <row r="16" spans="1:15" ht="12.75" customHeight="1">
      <c r="A16" s="19"/>
      <c r="B16" s="44"/>
      <c r="C16" s="583" t="s">
        <v>262</v>
      </c>
      <c r="D16" s="584"/>
      <c r="E16" s="427">
        <v>970</v>
      </c>
      <c r="F16" s="583"/>
      <c r="G16" s="584"/>
      <c r="H16" s="426"/>
      <c r="I16" s="41"/>
      <c r="J16"/>
      <c r="K16"/>
      <c r="L16"/>
      <c r="M16"/>
      <c r="N16"/>
      <c r="O16"/>
    </row>
    <row r="17" spans="1:15" ht="12.75" customHeight="1">
      <c r="A17" s="19"/>
      <c r="B17" s="44"/>
      <c r="C17" s="583" t="s">
        <v>263</v>
      </c>
      <c r="D17" s="584"/>
      <c r="E17" s="427">
        <v>1200</v>
      </c>
      <c r="F17" s="583"/>
      <c r="G17" s="584"/>
      <c r="H17" s="426"/>
      <c r="I17" s="41"/>
      <c r="J17"/>
      <c r="K17"/>
      <c r="L17"/>
      <c r="M17"/>
      <c r="N17"/>
      <c r="O17"/>
    </row>
    <row r="18" spans="1:15" ht="12.75" customHeight="1">
      <c r="A18" s="19"/>
      <c r="B18" s="44"/>
      <c r="C18" s="583" t="s">
        <v>264</v>
      </c>
      <c r="D18" s="584"/>
      <c r="E18" s="427">
        <v>280</v>
      </c>
      <c r="F18" s="583"/>
      <c r="G18" s="584"/>
      <c r="H18" s="426"/>
      <c r="I18" s="41"/>
      <c r="J18"/>
      <c r="K18"/>
      <c r="L18"/>
      <c r="M18"/>
      <c r="N18"/>
      <c r="O18"/>
    </row>
    <row r="19" spans="1:15" ht="12.75" customHeight="1">
      <c r="A19" s="19"/>
      <c r="B19" s="44"/>
      <c r="C19" s="583" t="s">
        <v>265</v>
      </c>
      <c r="D19" s="584"/>
      <c r="E19" s="427">
        <v>900</v>
      </c>
      <c r="F19" s="583"/>
      <c r="G19" s="584"/>
      <c r="H19" s="426"/>
      <c r="I19" s="41"/>
      <c r="J19"/>
      <c r="K19"/>
      <c r="L19"/>
      <c r="M19"/>
      <c r="N19"/>
      <c r="O19"/>
    </row>
    <row r="20" spans="1:15" ht="12.75" customHeight="1">
      <c r="A20" s="19"/>
      <c r="B20" s="44"/>
      <c r="C20" s="583" t="s">
        <v>266</v>
      </c>
      <c r="D20" s="584"/>
      <c r="E20" s="427">
        <v>1200</v>
      </c>
      <c r="F20" s="583"/>
      <c r="G20" s="584"/>
      <c r="H20" s="428"/>
      <c r="I20" s="41"/>
      <c r="J20"/>
      <c r="K20"/>
      <c r="L20"/>
      <c r="M20"/>
      <c r="N20"/>
      <c r="O20"/>
    </row>
    <row r="21" spans="1:15" ht="12.75" customHeight="1">
      <c r="A21" s="19"/>
      <c r="B21" s="44"/>
      <c r="C21" s="583" t="s">
        <v>267</v>
      </c>
      <c r="D21" s="584"/>
      <c r="E21" s="427">
        <v>1000</v>
      </c>
      <c r="F21" s="583"/>
      <c r="G21" s="584"/>
      <c r="H21" s="426"/>
      <c r="I21" s="41"/>
      <c r="J21"/>
      <c r="K21"/>
      <c r="L21"/>
      <c r="M21"/>
      <c r="N21"/>
      <c r="O21"/>
    </row>
    <row r="22" spans="1:15" ht="12.75" customHeight="1">
      <c r="A22" s="19"/>
      <c r="B22" s="44"/>
      <c r="C22" s="583" t="s">
        <v>268</v>
      </c>
      <c r="D22" s="584"/>
      <c r="E22" s="427">
        <v>1500</v>
      </c>
      <c r="F22" s="583"/>
      <c r="G22" s="584"/>
      <c r="H22" s="426"/>
      <c r="I22" s="41"/>
      <c r="J22"/>
      <c r="K22"/>
      <c r="L22"/>
      <c r="M22"/>
      <c r="N22"/>
      <c r="O22"/>
    </row>
    <row r="23" spans="1:15" ht="12.75" customHeight="1">
      <c r="A23" s="19"/>
      <c r="B23" s="44"/>
      <c r="C23" s="583"/>
      <c r="D23" s="584"/>
      <c r="E23" s="427"/>
      <c r="F23" s="583"/>
      <c r="G23" s="584"/>
      <c r="H23" s="426"/>
      <c r="I23" s="41"/>
      <c r="J23"/>
      <c r="K23"/>
      <c r="L23"/>
      <c r="M23"/>
      <c r="N23"/>
      <c r="O23"/>
    </row>
    <row r="24" spans="1:15" ht="12.75" customHeight="1">
      <c r="A24" s="19"/>
      <c r="B24" s="44"/>
      <c r="C24" s="583"/>
      <c r="D24" s="584"/>
      <c r="E24" s="427"/>
      <c r="F24" s="583"/>
      <c r="G24" s="584"/>
      <c r="H24" s="426"/>
      <c r="I24" s="41"/>
      <c r="J24"/>
      <c r="K24"/>
      <c r="L24"/>
      <c r="M24"/>
      <c r="N24"/>
      <c r="O24"/>
    </row>
    <row r="25" spans="1:9" ht="12.75" customHeight="1">
      <c r="A25" s="19"/>
      <c r="B25" s="44"/>
      <c r="C25" s="583"/>
      <c r="D25" s="584"/>
      <c r="E25" s="427"/>
      <c r="F25" s="583"/>
      <c r="G25" s="584"/>
      <c r="H25" s="426"/>
      <c r="I25" s="41"/>
    </row>
    <row r="26" spans="1:9" ht="12.75" customHeight="1">
      <c r="A26" s="19"/>
      <c r="B26" s="44"/>
      <c r="C26" s="583"/>
      <c r="D26" s="584"/>
      <c r="E26" s="427"/>
      <c r="F26" s="583"/>
      <c r="G26" s="584"/>
      <c r="H26" s="426"/>
      <c r="I26" s="41"/>
    </row>
    <row r="27" spans="1:9" ht="12.75" customHeight="1">
      <c r="A27" s="19"/>
      <c r="B27" s="44"/>
      <c r="C27" s="583"/>
      <c r="D27" s="584"/>
      <c r="E27" s="427"/>
      <c r="F27" s="583"/>
      <c r="G27" s="584"/>
      <c r="H27" s="428"/>
      <c r="I27" s="41"/>
    </row>
    <row r="28" spans="1:9" ht="12.75" customHeight="1">
      <c r="A28" s="19"/>
      <c r="B28" s="44"/>
      <c r="C28" s="583"/>
      <c r="D28" s="584"/>
      <c r="E28" s="427"/>
      <c r="F28" s="583"/>
      <c r="G28" s="584"/>
      <c r="H28" s="426"/>
      <c r="I28" s="41"/>
    </row>
    <row r="29" spans="1:9" ht="12.75" customHeight="1">
      <c r="A29" s="19"/>
      <c r="B29" s="44"/>
      <c r="C29" s="583"/>
      <c r="D29" s="584"/>
      <c r="E29" s="427"/>
      <c r="F29" s="583"/>
      <c r="G29" s="584"/>
      <c r="H29" s="426"/>
      <c r="I29" s="41"/>
    </row>
    <row r="30" spans="1:9" ht="12.75" customHeight="1">
      <c r="A30" s="19"/>
      <c r="B30" s="44"/>
      <c r="C30" s="583"/>
      <c r="D30" s="584"/>
      <c r="E30" s="427"/>
      <c r="F30" s="583"/>
      <c r="G30" s="584"/>
      <c r="H30" s="428"/>
      <c r="I30" s="41"/>
    </row>
    <row r="31" spans="1:9" ht="12.75" customHeight="1">
      <c r="A31" s="19"/>
      <c r="B31" s="44"/>
      <c r="C31" s="583"/>
      <c r="D31" s="584"/>
      <c r="E31" s="427"/>
      <c r="F31" s="583"/>
      <c r="G31" s="584"/>
      <c r="H31" s="428"/>
      <c r="I31" s="41"/>
    </row>
    <row r="32" spans="1:9" ht="12.75" customHeight="1">
      <c r="A32" s="19"/>
      <c r="B32" s="44"/>
      <c r="C32" s="583"/>
      <c r="D32" s="584"/>
      <c r="E32" s="427"/>
      <c r="F32" s="583"/>
      <c r="G32" s="584"/>
      <c r="H32" s="429"/>
      <c r="I32" s="41"/>
    </row>
    <row r="33" spans="1:9" ht="12.75" customHeight="1">
      <c r="A33" s="19"/>
      <c r="B33" s="44"/>
      <c r="C33" s="583"/>
      <c r="D33" s="584"/>
      <c r="E33" s="427"/>
      <c r="F33" s="583"/>
      <c r="G33" s="584"/>
      <c r="H33" s="429"/>
      <c r="I33" s="41"/>
    </row>
    <row r="34" spans="1:9" ht="12.75" customHeight="1">
      <c r="A34" s="19"/>
      <c r="B34" s="44"/>
      <c r="C34" s="583"/>
      <c r="D34" s="584"/>
      <c r="E34" s="427"/>
      <c r="F34" s="583"/>
      <c r="G34" s="584"/>
      <c r="H34" s="429"/>
      <c r="I34" s="41"/>
    </row>
    <row r="35" spans="1:9" ht="12.75" customHeight="1">
      <c r="A35" s="19"/>
      <c r="B35" s="44"/>
      <c r="C35" s="583"/>
      <c r="D35" s="584"/>
      <c r="E35" s="427"/>
      <c r="F35" s="583"/>
      <c r="G35" s="584"/>
      <c r="H35" s="429"/>
      <c r="I35" s="41"/>
    </row>
    <row r="36" spans="1:9" ht="12.75" customHeight="1">
      <c r="A36" s="19"/>
      <c r="B36" s="44"/>
      <c r="C36" s="583"/>
      <c r="D36" s="584"/>
      <c r="E36" s="427"/>
      <c r="F36" s="583"/>
      <c r="G36" s="584"/>
      <c r="H36" s="428"/>
      <c r="I36" s="41"/>
    </row>
    <row r="37" spans="1:9" ht="12.75" customHeight="1">
      <c r="A37" s="19"/>
      <c r="B37" s="44"/>
      <c r="C37" s="583"/>
      <c r="D37" s="584"/>
      <c r="E37" s="427"/>
      <c r="F37" s="583"/>
      <c r="G37" s="584"/>
      <c r="H37" s="429"/>
      <c r="I37" s="41"/>
    </row>
    <row r="38" spans="1:9" ht="12.75" customHeight="1">
      <c r="A38" s="19"/>
      <c r="B38" s="44"/>
      <c r="C38" s="583"/>
      <c r="D38" s="584"/>
      <c r="E38" s="427"/>
      <c r="F38" s="583"/>
      <c r="G38" s="584"/>
      <c r="H38" s="428"/>
      <c r="I38" s="41"/>
    </row>
    <row r="39" spans="1:9" ht="12.75" customHeight="1">
      <c r="A39" s="19"/>
      <c r="B39" s="44"/>
      <c r="C39" s="583"/>
      <c r="D39" s="584"/>
      <c r="E39" s="427"/>
      <c r="F39" s="583"/>
      <c r="G39" s="584"/>
      <c r="H39" s="428"/>
      <c r="I39" s="41"/>
    </row>
    <row r="40" spans="1:9" ht="12.75" customHeight="1">
      <c r="A40" s="19"/>
      <c r="B40" s="44"/>
      <c r="C40" s="583"/>
      <c r="D40" s="584"/>
      <c r="E40" s="427"/>
      <c r="F40" s="583"/>
      <c r="G40" s="584"/>
      <c r="H40" s="428"/>
      <c r="I40" s="41"/>
    </row>
    <row r="41" spans="1:9" ht="12.75" customHeight="1">
      <c r="A41" s="19"/>
      <c r="B41" s="44"/>
      <c r="C41" s="583"/>
      <c r="D41" s="584"/>
      <c r="E41" s="427"/>
      <c r="F41" s="583"/>
      <c r="G41" s="584"/>
      <c r="H41" s="428"/>
      <c r="I41" s="41"/>
    </row>
    <row r="42" spans="1:9" ht="12.75" customHeight="1">
      <c r="A42" s="19"/>
      <c r="B42" s="44"/>
      <c r="C42" s="583"/>
      <c r="D42" s="584"/>
      <c r="E42" s="427"/>
      <c r="F42" s="583"/>
      <c r="G42" s="584"/>
      <c r="H42" s="428"/>
      <c r="I42" s="41"/>
    </row>
    <row r="43" spans="1:9" ht="12.75" customHeight="1">
      <c r="A43" s="19"/>
      <c r="B43" s="44"/>
      <c r="C43" s="583"/>
      <c r="D43" s="584"/>
      <c r="E43" s="427"/>
      <c r="F43" s="583"/>
      <c r="G43" s="584"/>
      <c r="H43" s="428"/>
      <c r="I43" s="41"/>
    </row>
    <row r="44" spans="1:9" ht="12.75" customHeight="1">
      <c r="A44" s="19"/>
      <c r="B44" s="44"/>
      <c r="C44" s="583"/>
      <c r="D44" s="584"/>
      <c r="E44" s="427"/>
      <c r="F44" s="583"/>
      <c r="G44" s="584"/>
      <c r="H44" s="428"/>
      <c r="I44" s="41"/>
    </row>
    <row r="45" spans="1:9" ht="12.75" customHeight="1">
      <c r="A45" s="19"/>
      <c r="B45" s="44"/>
      <c r="C45" s="583"/>
      <c r="D45" s="584"/>
      <c r="E45" s="427"/>
      <c r="F45" s="583"/>
      <c r="G45" s="584"/>
      <c r="H45" s="429"/>
      <c r="I45" s="41"/>
    </row>
    <row r="46" spans="1:9" ht="12.75" customHeight="1">
      <c r="A46" s="19"/>
      <c r="B46" s="44"/>
      <c r="C46" s="583"/>
      <c r="D46" s="584"/>
      <c r="E46" s="427"/>
      <c r="F46" s="583"/>
      <c r="G46" s="584"/>
      <c r="H46" s="428"/>
      <c r="I46" s="41"/>
    </row>
    <row r="47" spans="1:9" ht="12.75" customHeight="1">
      <c r="A47" s="19"/>
      <c r="B47" s="44"/>
      <c r="C47" s="583"/>
      <c r="D47" s="584"/>
      <c r="E47" s="427"/>
      <c r="F47" s="583"/>
      <c r="G47" s="584"/>
      <c r="H47" s="428"/>
      <c r="I47" s="41"/>
    </row>
    <row r="48" spans="1:9" ht="12.75" customHeight="1">
      <c r="A48" s="19"/>
      <c r="B48" s="44"/>
      <c r="C48" s="583"/>
      <c r="D48" s="584"/>
      <c r="E48" s="427"/>
      <c r="F48" s="583"/>
      <c r="G48" s="584"/>
      <c r="H48" s="428"/>
      <c r="I48" s="41"/>
    </row>
    <row r="49" spans="1:9" ht="12.75" customHeight="1">
      <c r="A49" s="19"/>
      <c r="B49" s="44"/>
      <c r="C49" s="583"/>
      <c r="D49" s="584"/>
      <c r="E49" s="427"/>
      <c r="F49" s="583"/>
      <c r="G49" s="584"/>
      <c r="H49" s="429"/>
      <c r="I49" s="41"/>
    </row>
    <row r="50" spans="1:9" ht="12.75" customHeight="1">
      <c r="A50" s="19"/>
      <c r="B50" s="44"/>
      <c r="C50" s="583"/>
      <c r="D50" s="584"/>
      <c r="E50" s="427"/>
      <c r="F50" s="583"/>
      <c r="G50" s="584"/>
      <c r="H50" s="428"/>
      <c r="I50" s="41"/>
    </row>
    <row r="51" spans="1:9" ht="12.75" customHeight="1">
      <c r="A51" s="19"/>
      <c r="B51" s="44"/>
      <c r="C51" s="583"/>
      <c r="D51" s="584"/>
      <c r="E51" s="427"/>
      <c r="F51" s="583"/>
      <c r="G51" s="584"/>
      <c r="H51" s="429"/>
      <c r="I51" s="41"/>
    </row>
    <row r="52" spans="1:9" ht="12.75" customHeight="1">
      <c r="A52" s="19"/>
      <c r="B52" s="44"/>
      <c r="C52" s="583"/>
      <c r="D52" s="584"/>
      <c r="E52" s="427"/>
      <c r="F52" s="583"/>
      <c r="G52" s="584"/>
      <c r="H52" s="429"/>
      <c r="I52" s="41"/>
    </row>
    <row r="53" spans="1:9" ht="12.75" customHeight="1">
      <c r="A53" s="19"/>
      <c r="B53" s="44"/>
      <c r="C53" s="583"/>
      <c r="D53" s="584"/>
      <c r="E53" s="427"/>
      <c r="F53" s="583"/>
      <c r="G53" s="584"/>
      <c r="H53" s="429"/>
      <c r="I53" s="41"/>
    </row>
    <row r="54" spans="1:9" ht="12.75" customHeight="1">
      <c r="A54" s="19"/>
      <c r="B54" s="44"/>
      <c r="C54" s="583"/>
      <c r="D54" s="584"/>
      <c r="E54" s="427"/>
      <c r="F54" s="583"/>
      <c r="G54" s="584"/>
      <c r="H54" s="428"/>
      <c r="I54" s="41"/>
    </row>
    <row r="55" spans="1:9" ht="12.75" customHeight="1">
      <c r="A55" s="19"/>
      <c r="B55" s="44"/>
      <c r="C55" s="583"/>
      <c r="D55" s="584"/>
      <c r="E55" s="427"/>
      <c r="F55" s="583"/>
      <c r="G55" s="584"/>
      <c r="H55" s="428"/>
      <c r="I55" s="41"/>
    </row>
    <row r="56" spans="1:9" ht="12.75" customHeight="1">
      <c r="A56" s="19"/>
      <c r="B56" s="44"/>
      <c r="C56" s="583"/>
      <c r="D56" s="584"/>
      <c r="E56" s="427"/>
      <c r="F56" s="583"/>
      <c r="G56" s="584"/>
      <c r="H56" s="428"/>
      <c r="I56" s="41"/>
    </row>
    <row r="57" spans="1:9" ht="12.75" customHeight="1">
      <c r="A57" s="19"/>
      <c r="B57" s="44"/>
      <c r="C57" s="583"/>
      <c r="D57" s="584"/>
      <c r="E57" s="427"/>
      <c r="F57" s="583"/>
      <c r="G57" s="584"/>
      <c r="H57" s="428"/>
      <c r="I57" s="41"/>
    </row>
    <row r="58" spans="1:9" ht="12.75" customHeight="1">
      <c r="A58" s="19"/>
      <c r="B58" s="44"/>
      <c r="C58" s="583"/>
      <c r="D58" s="584"/>
      <c r="E58" s="427"/>
      <c r="F58" s="583"/>
      <c r="G58" s="584"/>
      <c r="H58" s="428"/>
      <c r="I58" s="41"/>
    </row>
    <row r="59" spans="1:9" ht="12.75" customHeight="1" thickBot="1">
      <c r="A59" s="19"/>
      <c r="B59" s="328"/>
      <c r="C59" s="585"/>
      <c r="D59" s="586"/>
      <c r="E59" s="430"/>
      <c r="F59" s="585"/>
      <c r="G59" s="586"/>
      <c r="H59" s="431"/>
      <c r="I59" s="41"/>
    </row>
    <row r="60" spans="1:9" ht="12.75" customHeight="1" thickBot="1">
      <c r="A60" s="19"/>
      <c r="B60" s="432" t="s">
        <v>201</v>
      </c>
      <c r="C60" s="433"/>
      <c r="D60" s="434" t="s">
        <v>202</v>
      </c>
      <c r="E60" s="433"/>
      <c r="F60" s="434" t="s">
        <v>203</v>
      </c>
      <c r="G60" s="435" t="s">
        <v>278</v>
      </c>
      <c r="H60" s="326">
        <f>(TB*30)+(TS*20)+(TG*5)</f>
        <v>4510</v>
      </c>
      <c r="I60" s="41"/>
    </row>
    <row r="61" spans="1:9" ht="12.75" customHeight="1" thickBot="1">
      <c r="A61" s="19"/>
      <c r="B61" s="587" t="s">
        <v>189</v>
      </c>
      <c r="C61" s="587"/>
      <c r="F61" s="588" t="s">
        <v>122</v>
      </c>
      <c r="G61" s="589"/>
      <c r="H61" s="326">
        <f>SUM($H$10:$H$60)+SUM(E10:E59)</f>
        <v>16560</v>
      </c>
      <c r="I61" s="41"/>
    </row>
    <row r="62" spans="1:9" ht="12.75" customHeight="1" thickBot="1">
      <c r="A62" s="19"/>
      <c r="B62" s="45"/>
      <c r="F62" s="590" t="s">
        <v>123</v>
      </c>
      <c r="G62" s="591"/>
      <c r="H62" s="327">
        <f>Tragkraft-Gesamtgewicht</f>
        <v>10440</v>
      </c>
      <c r="I62" s="41"/>
    </row>
    <row r="63" spans="1:9" ht="12.75" customHeight="1">
      <c r="A63" s="19"/>
      <c r="B63" s="23"/>
      <c r="C63" s="23"/>
      <c r="D63" s="23"/>
      <c r="E63" s="23"/>
      <c r="F63" s="23"/>
      <c r="G63" s="23"/>
      <c r="H63" s="40"/>
      <c r="I63" s="41"/>
    </row>
    <row r="64" spans="1:9" ht="12.75" customHeight="1">
      <c r="A64" s="19"/>
      <c r="B64" s="23"/>
      <c r="C64" s="592" t="s">
        <v>157</v>
      </c>
      <c r="D64" s="592"/>
      <c r="E64" s="592"/>
      <c r="F64" s="592"/>
      <c r="G64" s="592"/>
      <c r="H64" s="40"/>
      <c r="I64" s="41"/>
    </row>
    <row r="65" spans="1:9" ht="12.75">
      <c r="A65" s="105"/>
      <c r="B65" s="106"/>
      <c r="C65" s="106"/>
      <c r="D65" s="106"/>
      <c r="E65" s="106"/>
      <c r="F65" s="106"/>
      <c r="G65" s="106"/>
      <c r="H65" s="107"/>
      <c r="I65" s="108"/>
    </row>
  </sheetData>
  <sheetProtection/>
  <protectedRanges>
    <protectedRange password="8E0B" sqref="C64:G64" name="Bereich1"/>
  </protectedRanges>
  <mergeCells count="109">
    <mergeCell ref="C59:D59"/>
    <mergeCell ref="F59:G59"/>
    <mergeCell ref="B61:C61"/>
    <mergeCell ref="F61:G61"/>
    <mergeCell ref="F62:G62"/>
    <mergeCell ref="C64:G64"/>
    <mergeCell ref="C56:D56"/>
    <mergeCell ref="F56:G56"/>
    <mergeCell ref="C57:D57"/>
    <mergeCell ref="F57:G57"/>
    <mergeCell ref="C58:D58"/>
    <mergeCell ref="F58:G58"/>
    <mergeCell ref="C53:D53"/>
    <mergeCell ref="F53:G53"/>
    <mergeCell ref="C54:D54"/>
    <mergeCell ref="F54:G54"/>
    <mergeCell ref="C55:D55"/>
    <mergeCell ref="F55:G55"/>
    <mergeCell ref="C50:D50"/>
    <mergeCell ref="F50:G50"/>
    <mergeCell ref="C51:D51"/>
    <mergeCell ref="F51:G51"/>
    <mergeCell ref="C52:D52"/>
    <mergeCell ref="F52:G52"/>
    <mergeCell ref="C47:D47"/>
    <mergeCell ref="F47:G47"/>
    <mergeCell ref="C48:D48"/>
    <mergeCell ref="F48:G48"/>
    <mergeCell ref="C49:D49"/>
    <mergeCell ref="F49:G49"/>
    <mergeCell ref="C44:D44"/>
    <mergeCell ref="F44:G44"/>
    <mergeCell ref="C45:D45"/>
    <mergeCell ref="F45:G45"/>
    <mergeCell ref="C46:D46"/>
    <mergeCell ref="F46:G46"/>
    <mergeCell ref="C41:D41"/>
    <mergeCell ref="F41:G41"/>
    <mergeCell ref="C42:D42"/>
    <mergeCell ref="F42:G42"/>
    <mergeCell ref="C43:D43"/>
    <mergeCell ref="F43:G43"/>
    <mergeCell ref="C38:D38"/>
    <mergeCell ref="F38:G38"/>
    <mergeCell ref="C39:D39"/>
    <mergeCell ref="F39:G39"/>
    <mergeCell ref="C40:D40"/>
    <mergeCell ref="F40:G40"/>
    <mergeCell ref="C35:D35"/>
    <mergeCell ref="F35:G35"/>
    <mergeCell ref="C36:D36"/>
    <mergeCell ref="F36:G36"/>
    <mergeCell ref="C37:D37"/>
    <mergeCell ref="F37:G37"/>
    <mergeCell ref="C32:D32"/>
    <mergeCell ref="F32:G32"/>
    <mergeCell ref="C33:D33"/>
    <mergeCell ref="F33:G33"/>
    <mergeCell ref="C34:D34"/>
    <mergeCell ref="F34:G34"/>
    <mergeCell ref="C29:D29"/>
    <mergeCell ref="F29:G29"/>
    <mergeCell ref="C30:D30"/>
    <mergeCell ref="F30:G30"/>
    <mergeCell ref="C31:D31"/>
    <mergeCell ref="F31:G31"/>
    <mergeCell ref="C26:D26"/>
    <mergeCell ref="F26:G26"/>
    <mergeCell ref="C27:D27"/>
    <mergeCell ref="F27:G27"/>
    <mergeCell ref="C28:D28"/>
    <mergeCell ref="F28:G28"/>
    <mergeCell ref="C23:D23"/>
    <mergeCell ref="F23:G23"/>
    <mergeCell ref="C24:D24"/>
    <mergeCell ref="F24:G24"/>
    <mergeCell ref="C25:D25"/>
    <mergeCell ref="F25:G25"/>
    <mergeCell ref="C20:D20"/>
    <mergeCell ref="F20:G20"/>
    <mergeCell ref="C21:D21"/>
    <mergeCell ref="F21:G21"/>
    <mergeCell ref="C22:D22"/>
    <mergeCell ref="F22:G22"/>
    <mergeCell ref="C17:D17"/>
    <mergeCell ref="F17:G17"/>
    <mergeCell ref="C18:D18"/>
    <mergeCell ref="F18:G18"/>
    <mergeCell ref="C19:D19"/>
    <mergeCell ref="F19:G19"/>
    <mergeCell ref="C14:D14"/>
    <mergeCell ref="F14:G14"/>
    <mergeCell ref="C15:D15"/>
    <mergeCell ref="F15:G15"/>
    <mergeCell ref="C16:D16"/>
    <mergeCell ref="F16:G16"/>
    <mergeCell ref="C11:D11"/>
    <mergeCell ref="F11:G11"/>
    <mergeCell ref="C12:D12"/>
    <mergeCell ref="F12:G12"/>
    <mergeCell ref="C13:D13"/>
    <mergeCell ref="F13:G13"/>
    <mergeCell ref="A2:I3"/>
    <mergeCell ref="A5:I5"/>
    <mergeCell ref="C7:E7"/>
    <mergeCell ref="C9:D9"/>
    <mergeCell ref="F9:G9"/>
    <mergeCell ref="C10:D10"/>
    <mergeCell ref="F10:G10"/>
  </mergeCells>
  <hyperlinks>
    <hyperlink ref="C64" r:id="rId1" display="www.imdacil.de"/>
  </hyperlinks>
  <printOptions horizontalCentered="1"/>
  <pageMargins left="0.1968503937007874" right="0.1968503937007874" top="0.3937007874015748" bottom="0.1968503937007874" header="0.5118110236220472" footer="0.5118110236220472"/>
  <pageSetup horizontalDpi="600" verticalDpi="600" orientation="portrait" paperSize="9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R63"/>
  <sheetViews>
    <sheetView zoomScalePageLayoutView="0" workbookViewId="0" topLeftCell="A1">
      <selection activeCell="F20" sqref="F20:G20"/>
    </sheetView>
  </sheetViews>
  <sheetFormatPr defaultColWidth="10.00390625" defaultRowHeight="15.75"/>
  <cols>
    <col min="1" max="1" width="4.125" style="82" customWidth="1"/>
    <col min="2" max="12" width="7.625" style="82" customWidth="1"/>
    <col min="13" max="13" width="4.125" style="82" customWidth="1"/>
    <col min="14" max="18" width="7.625" style="82" customWidth="1"/>
    <col min="19" max="19" width="4.875" style="82" customWidth="1"/>
    <col min="20" max="23" width="5.125" style="82" customWidth="1"/>
    <col min="24" max="26" width="5.875" style="82" customWidth="1"/>
    <col min="27" max="16384" width="10.00390625" style="82" customWidth="1"/>
  </cols>
  <sheetData>
    <row r="1" spans="1:18" s="66" customFormat="1" ht="4.5" customHeight="1">
      <c r="A1" s="109"/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1"/>
      <c r="N1" s="65"/>
      <c r="O1" s="65"/>
      <c r="P1" s="65"/>
      <c r="Q1" s="65"/>
      <c r="R1" s="65"/>
    </row>
    <row r="2" spans="1:18" s="66" customFormat="1" ht="18.75">
      <c r="A2" s="112"/>
      <c r="B2" s="608" t="s">
        <v>135</v>
      </c>
      <c r="C2" s="608"/>
      <c r="D2" s="608"/>
      <c r="E2" s="608"/>
      <c r="F2" s="608"/>
      <c r="G2" s="608"/>
      <c r="H2" s="608"/>
      <c r="I2" s="608"/>
      <c r="J2" s="608"/>
      <c r="K2" s="608"/>
      <c r="L2" s="608"/>
      <c r="M2" s="113"/>
      <c r="N2" s="68"/>
      <c r="O2" s="68"/>
      <c r="P2" s="68"/>
      <c r="Q2" s="68"/>
      <c r="R2" s="68"/>
    </row>
    <row r="3" spans="1:18" s="66" customFormat="1" ht="13.5" customHeight="1">
      <c r="A3" s="112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113"/>
      <c r="N3" s="68"/>
      <c r="O3" s="68"/>
      <c r="P3" s="68"/>
      <c r="Q3" s="68"/>
      <c r="R3" s="68"/>
    </row>
    <row r="4" spans="1:18" s="70" customFormat="1" ht="16.5" customHeight="1" thickBot="1">
      <c r="A4" s="114"/>
      <c r="B4" s="71" t="s">
        <v>2</v>
      </c>
      <c r="C4" s="609" t="str">
        <f>Name</f>
        <v>Iavera Artor</v>
      </c>
      <c r="D4" s="609"/>
      <c r="E4" s="609"/>
      <c r="F4" s="609"/>
      <c r="G4" s="71" t="s">
        <v>67</v>
      </c>
      <c r="H4" s="609" t="str">
        <f>Typus</f>
        <v>BARBAR</v>
      </c>
      <c r="I4" s="609"/>
      <c r="J4" s="609"/>
      <c r="K4" s="71" t="s">
        <v>136</v>
      </c>
      <c r="L4" s="72"/>
      <c r="M4" s="116"/>
      <c r="N4" s="73"/>
      <c r="O4" s="69"/>
      <c r="P4" s="69"/>
      <c r="Q4" s="73"/>
      <c r="R4" s="73"/>
    </row>
    <row r="5" spans="1:18" s="70" customFormat="1" ht="12.75">
      <c r="A5" s="114"/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115"/>
      <c r="N5" s="69"/>
      <c r="O5" s="69"/>
      <c r="P5" s="69"/>
      <c r="Q5" s="69"/>
      <c r="R5" s="69"/>
    </row>
    <row r="6" spans="1:18" s="70" customFormat="1" ht="6" customHeight="1">
      <c r="A6" s="114"/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116"/>
      <c r="N6" s="73"/>
      <c r="O6" s="73"/>
      <c r="P6" s="73"/>
      <c r="Q6" s="73"/>
      <c r="R6" s="73"/>
    </row>
    <row r="7" spans="1:18" s="66" customFormat="1" ht="15.75">
      <c r="A7" s="112"/>
      <c r="B7" s="603" t="s">
        <v>228</v>
      </c>
      <c r="C7" s="603"/>
      <c r="D7" s="603"/>
      <c r="E7" s="603"/>
      <c r="F7" s="603"/>
      <c r="G7" s="603"/>
      <c r="H7" s="603"/>
      <c r="I7" s="603"/>
      <c r="J7" s="603"/>
      <c r="K7" s="603"/>
      <c r="L7" s="603"/>
      <c r="M7" s="117"/>
      <c r="N7" s="74"/>
      <c r="O7" s="74"/>
      <c r="P7" s="74"/>
      <c r="Q7" s="74"/>
      <c r="R7" s="74"/>
    </row>
    <row r="8" spans="1:18" s="66" customFormat="1" ht="9" customHeight="1" thickBot="1">
      <c r="A8" s="112"/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117"/>
      <c r="N8" s="74"/>
      <c r="O8" s="74"/>
      <c r="P8" s="74"/>
      <c r="Q8" s="74"/>
      <c r="R8" s="74"/>
    </row>
    <row r="9" spans="1:18" s="386" customFormat="1" ht="17.25" customHeight="1" thickBot="1" thickTop="1">
      <c r="A9" s="378"/>
      <c r="B9" s="379" t="s">
        <v>128</v>
      </c>
      <c r="C9" s="380" t="s">
        <v>138</v>
      </c>
      <c r="D9" s="380" t="s">
        <v>139</v>
      </c>
      <c r="E9" s="381" t="s">
        <v>229</v>
      </c>
      <c r="F9" s="380" t="s">
        <v>140</v>
      </c>
      <c r="G9" s="382" t="s">
        <v>230</v>
      </c>
      <c r="H9" s="380" t="s">
        <v>141</v>
      </c>
      <c r="I9" s="380" t="s">
        <v>9</v>
      </c>
      <c r="J9" s="381" t="s">
        <v>231</v>
      </c>
      <c r="K9" s="381" t="s">
        <v>232</v>
      </c>
      <c r="L9" s="383" t="s">
        <v>233</v>
      </c>
      <c r="M9" s="384"/>
      <c r="N9" s="385"/>
      <c r="O9" s="385"/>
      <c r="P9" s="385"/>
      <c r="Q9" s="385"/>
      <c r="R9" s="385"/>
    </row>
    <row r="10" spans="1:18" s="66" customFormat="1" ht="17.25" customHeight="1" thickBot="1" thickTop="1">
      <c r="A10" s="112"/>
      <c r="B10" s="387" t="s">
        <v>142</v>
      </c>
      <c r="C10" s="388"/>
      <c r="D10" s="388"/>
      <c r="E10" s="389">
        <v>3</v>
      </c>
      <c r="F10" s="388"/>
      <c r="G10" s="390"/>
      <c r="H10" s="391"/>
      <c r="I10" s="402">
        <f>UrAUSD+UrKK+25+UrRZ1+UrRZ2</f>
        <v>121</v>
      </c>
      <c r="J10" s="401">
        <v>2</v>
      </c>
      <c r="K10" s="392"/>
      <c r="L10" s="393"/>
      <c r="M10" s="117"/>
      <c r="N10" s="74"/>
      <c r="O10" s="74"/>
      <c r="P10" s="74"/>
      <c r="Q10" s="74"/>
      <c r="R10" s="74"/>
    </row>
    <row r="11" spans="1:18" s="66" customFormat="1" ht="17.25" customHeight="1" thickBot="1">
      <c r="A11" s="112"/>
      <c r="B11" s="394"/>
      <c r="C11" s="395"/>
      <c r="D11" s="395"/>
      <c r="E11" s="396"/>
      <c r="F11" s="395"/>
      <c r="G11" s="397"/>
      <c r="H11" s="395"/>
      <c r="I11" s="421" t="s">
        <v>159</v>
      </c>
      <c r="J11" s="419" t="s">
        <v>234</v>
      </c>
      <c r="K11" s="398" t="s">
        <v>15</v>
      </c>
      <c r="L11" s="399" t="s">
        <v>16</v>
      </c>
      <c r="M11" s="117"/>
      <c r="N11" s="74"/>
      <c r="O11" s="74"/>
      <c r="P11" s="74"/>
      <c r="Q11" s="74"/>
      <c r="R11" s="74"/>
    </row>
    <row r="12" spans="1:18" s="66" customFormat="1" ht="17.25" customHeight="1" thickBot="1" thickTop="1">
      <c r="A12" s="112"/>
      <c r="B12" s="603" t="s">
        <v>143</v>
      </c>
      <c r="C12" s="603"/>
      <c r="D12" s="603"/>
      <c r="E12" s="603"/>
      <c r="F12" s="603"/>
      <c r="G12" s="603"/>
      <c r="H12" s="603"/>
      <c r="I12" s="422"/>
      <c r="J12" s="420"/>
      <c r="K12" s="388">
        <v>2</v>
      </c>
      <c r="L12" s="400">
        <v>4</v>
      </c>
      <c r="M12" s="117"/>
      <c r="N12" s="74"/>
      <c r="O12" s="74"/>
      <c r="P12" s="74"/>
      <c r="Q12" s="74"/>
      <c r="R12" s="74"/>
    </row>
    <row r="13" spans="1:18" s="66" customFormat="1" ht="6" customHeight="1">
      <c r="A13" s="112"/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117"/>
      <c r="N13" s="74"/>
      <c r="O13" s="74"/>
      <c r="P13" s="74"/>
      <c r="Q13" s="74"/>
      <c r="R13" s="74"/>
    </row>
    <row r="14" spans="1:18" s="66" customFormat="1" ht="9" customHeight="1" thickBot="1">
      <c r="A14" s="112"/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117"/>
      <c r="N14" s="74"/>
      <c r="O14" s="74"/>
      <c r="P14" s="74"/>
      <c r="Q14" s="74"/>
      <c r="R14" s="74"/>
    </row>
    <row r="15" spans="1:18" s="66" customFormat="1" ht="12.75" customHeight="1" thickTop="1">
      <c r="A15" s="112"/>
      <c r="B15" s="610" t="s">
        <v>137</v>
      </c>
      <c r="C15" s="604"/>
      <c r="D15" s="604" t="s">
        <v>144</v>
      </c>
      <c r="E15" s="604"/>
      <c r="F15" s="604" t="s">
        <v>145</v>
      </c>
      <c r="G15" s="604"/>
      <c r="H15" s="604" t="s">
        <v>146</v>
      </c>
      <c r="I15" s="604"/>
      <c r="J15" s="604" t="s">
        <v>147</v>
      </c>
      <c r="K15" s="604"/>
      <c r="L15" s="605"/>
      <c r="M15" s="117"/>
      <c r="N15" s="74"/>
      <c r="O15" s="74"/>
      <c r="P15" s="74"/>
      <c r="Q15" s="74"/>
      <c r="R15" s="74"/>
    </row>
    <row r="16" spans="1:18" s="66" customFormat="1" ht="13.5" thickBot="1">
      <c r="A16" s="112"/>
      <c r="B16" s="611"/>
      <c r="C16" s="606"/>
      <c r="D16" s="606"/>
      <c r="E16" s="606"/>
      <c r="F16" s="606"/>
      <c r="G16" s="606"/>
      <c r="H16" s="606"/>
      <c r="I16" s="606"/>
      <c r="J16" s="606"/>
      <c r="K16" s="606"/>
      <c r="L16" s="607"/>
      <c r="M16" s="117"/>
      <c r="N16" s="74"/>
      <c r="O16" s="74"/>
      <c r="P16" s="74"/>
      <c r="Q16" s="74"/>
      <c r="R16" s="74"/>
    </row>
    <row r="17" spans="1:18" s="66" customFormat="1" ht="13.5" thickTop="1">
      <c r="A17" s="112"/>
      <c r="B17" s="602" t="s">
        <v>148</v>
      </c>
      <c r="C17" s="601"/>
      <c r="D17" s="601" t="s">
        <v>148</v>
      </c>
      <c r="E17" s="601"/>
      <c r="F17" s="601" t="s">
        <v>148</v>
      </c>
      <c r="G17" s="601"/>
      <c r="H17" s="601" t="s">
        <v>148</v>
      </c>
      <c r="I17" s="601"/>
      <c r="J17" s="75" t="s">
        <v>70</v>
      </c>
      <c r="K17" s="76"/>
      <c r="L17" s="77" t="s">
        <v>71</v>
      </c>
      <c r="M17" s="117"/>
      <c r="N17" s="74"/>
      <c r="O17" s="74"/>
      <c r="P17" s="74"/>
      <c r="Q17" s="74"/>
      <c r="R17" s="74"/>
    </row>
    <row r="18" spans="1:18" s="66" customFormat="1" ht="12.75">
      <c r="A18" s="112"/>
      <c r="B18" s="595" t="s">
        <v>273</v>
      </c>
      <c r="C18" s="596"/>
      <c r="D18" s="599"/>
      <c r="E18" s="599"/>
      <c r="F18" s="599"/>
      <c r="G18" s="599"/>
      <c r="H18" s="599"/>
      <c r="I18" s="599"/>
      <c r="J18" s="230">
        <v>1</v>
      </c>
      <c r="K18" s="231"/>
      <c r="L18" s="232">
        <v>1</v>
      </c>
      <c r="M18" s="117"/>
      <c r="N18" s="74"/>
      <c r="O18" s="74"/>
      <c r="P18" s="74"/>
      <c r="Q18" s="74"/>
      <c r="R18" s="74"/>
    </row>
    <row r="19" spans="1:18" s="66" customFormat="1" ht="12.75">
      <c r="A19" s="112"/>
      <c r="B19" s="595"/>
      <c r="C19" s="596"/>
      <c r="D19" s="599" t="s">
        <v>279</v>
      </c>
      <c r="E19" s="599"/>
      <c r="F19" s="599">
        <v>16</v>
      </c>
      <c r="G19" s="599"/>
      <c r="H19" s="599"/>
      <c r="I19" s="599"/>
      <c r="J19" s="230"/>
      <c r="K19" s="231"/>
      <c r="L19" s="232"/>
      <c r="M19" s="117"/>
      <c r="N19" s="74"/>
      <c r="O19" s="74"/>
      <c r="P19" s="74"/>
      <c r="Q19" s="74"/>
      <c r="R19" s="74"/>
    </row>
    <row r="20" spans="1:18" s="66" customFormat="1" ht="12.75">
      <c r="A20" s="112"/>
      <c r="B20" s="595"/>
      <c r="C20" s="596"/>
      <c r="D20" s="599"/>
      <c r="E20" s="599"/>
      <c r="F20" s="599"/>
      <c r="G20" s="599"/>
      <c r="H20" s="599"/>
      <c r="I20" s="599"/>
      <c r="J20" s="230"/>
      <c r="K20" s="231"/>
      <c r="L20" s="232"/>
      <c r="M20" s="117"/>
      <c r="N20" s="74"/>
      <c r="O20" s="74"/>
      <c r="P20" s="74"/>
      <c r="Q20" s="74"/>
      <c r="R20" s="74"/>
    </row>
    <row r="21" spans="1:18" s="66" customFormat="1" ht="12.75">
      <c r="A21" s="112"/>
      <c r="B21" s="595"/>
      <c r="C21" s="596"/>
      <c r="D21" s="599"/>
      <c r="E21" s="599"/>
      <c r="F21" s="599"/>
      <c r="G21" s="599"/>
      <c r="H21" s="599"/>
      <c r="I21" s="599"/>
      <c r="J21" s="230"/>
      <c r="K21" s="231"/>
      <c r="L21" s="232"/>
      <c r="M21" s="117"/>
      <c r="N21" s="74"/>
      <c r="O21" s="74"/>
      <c r="P21" s="74"/>
      <c r="Q21" s="74"/>
      <c r="R21" s="74"/>
    </row>
    <row r="22" spans="1:18" s="66" customFormat="1" ht="12.75">
      <c r="A22" s="112"/>
      <c r="B22" s="595"/>
      <c r="C22" s="596"/>
      <c r="D22" s="599"/>
      <c r="E22" s="599"/>
      <c r="F22" s="599"/>
      <c r="G22" s="599"/>
      <c r="H22" s="599"/>
      <c r="I22" s="599"/>
      <c r="J22" s="230"/>
      <c r="K22" s="231"/>
      <c r="L22" s="232"/>
      <c r="M22" s="117"/>
      <c r="N22" s="74"/>
      <c r="O22" s="74"/>
      <c r="P22" s="74"/>
      <c r="Q22" s="74"/>
      <c r="R22" s="74"/>
    </row>
    <row r="23" spans="1:18" s="66" customFormat="1" ht="12.75">
      <c r="A23" s="112"/>
      <c r="B23" s="595"/>
      <c r="C23" s="596"/>
      <c r="D23" s="599"/>
      <c r="E23" s="599"/>
      <c r="F23" s="599"/>
      <c r="G23" s="599"/>
      <c r="H23" s="599"/>
      <c r="I23" s="599"/>
      <c r="J23" s="230"/>
      <c r="K23" s="231"/>
      <c r="L23" s="232"/>
      <c r="M23" s="117"/>
      <c r="N23" s="74"/>
      <c r="O23" s="74"/>
      <c r="P23" s="74"/>
      <c r="Q23" s="74"/>
      <c r="R23" s="74"/>
    </row>
    <row r="24" spans="1:18" s="66" customFormat="1" ht="12.75">
      <c r="A24" s="112"/>
      <c r="B24" s="595"/>
      <c r="C24" s="596"/>
      <c r="D24" s="599"/>
      <c r="E24" s="599"/>
      <c r="F24" s="599"/>
      <c r="G24" s="599"/>
      <c r="H24" s="599"/>
      <c r="I24" s="599"/>
      <c r="J24" s="230"/>
      <c r="K24" s="231"/>
      <c r="L24" s="232"/>
      <c r="M24" s="117"/>
      <c r="N24" s="74"/>
      <c r="O24" s="74"/>
      <c r="P24" s="74"/>
      <c r="Q24" s="74"/>
      <c r="R24" s="74"/>
    </row>
    <row r="25" spans="1:18" s="66" customFormat="1" ht="12.75">
      <c r="A25" s="112"/>
      <c r="B25" s="595"/>
      <c r="C25" s="596"/>
      <c r="D25" s="599"/>
      <c r="E25" s="599"/>
      <c r="F25" s="599"/>
      <c r="G25" s="599"/>
      <c r="H25" s="599"/>
      <c r="I25" s="599"/>
      <c r="J25" s="230"/>
      <c r="K25" s="231"/>
      <c r="L25" s="232"/>
      <c r="M25" s="117"/>
      <c r="N25" s="74"/>
      <c r="O25" s="74"/>
      <c r="P25" s="74"/>
      <c r="Q25" s="74"/>
      <c r="R25" s="74"/>
    </row>
    <row r="26" spans="1:18" s="66" customFormat="1" ht="12.75">
      <c r="A26" s="112"/>
      <c r="B26" s="595"/>
      <c r="C26" s="596"/>
      <c r="D26" s="599"/>
      <c r="E26" s="599"/>
      <c r="F26" s="599"/>
      <c r="G26" s="599"/>
      <c r="H26" s="599"/>
      <c r="I26" s="599"/>
      <c r="J26" s="230"/>
      <c r="K26" s="231"/>
      <c r="L26" s="232"/>
      <c r="M26" s="117"/>
      <c r="N26" s="74"/>
      <c r="O26" s="74"/>
      <c r="P26" s="74"/>
      <c r="Q26" s="74"/>
      <c r="R26" s="74"/>
    </row>
    <row r="27" spans="1:18" s="66" customFormat="1" ht="12.75">
      <c r="A27" s="112"/>
      <c r="B27" s="595"/>
      <c r="C27" s="596"/>
      <c r="D27" s="599"/>
      <c r="E27" s="599"/>
      <c r="F27" s="599"/>
      <c r="G27" s="599"/>
      <c r="H27" s="599"/>
      <c r="I27" s="599"/>
      <c r="J27" s="230"/>
      <c r="K27" s="231"/>
      <c r="L27" s="232"/>
      <c r="M27" s="117"/>
      <c r="N27" s="74"/>
      <c r="O27" s="74"/>
      <c r="P27" s="74"/>
      <c r="Q27" s="74"/>
      <c r="R27" s="74"/>
    </row>
    <row r="28" spans="1:18" s="66" customFormat="1" ht="12.75">
      <c r="A28" s="112"/>
      <c r="B28" s="595"/>
      <c r="C28" s="596"/>
      <c r="D28" s="599"/>
      <c r="E28" s="599"/>
      <c r="F28" s="599"/>
      <c r="G28" s="599"/>
      <c r="H28" s="599"/>
      <c r="I28" s="599"/>
      <c r="J28" s="230"/>
      <c r="K28" s="231"/>
      <c r="L28" s="232"/>
      <c r="M28" s="117"/>
      <c r="N28" s="74"/>
      <c r="O28" s="74"/>
      <c r="P28" s="74"/>
      <c r="Q28" s="74"/>
      <c r="R28" s="74"/>
    </row>
    <row r="29" spans="1:18" s="66" customFormat="1" ht="12.75">
      <c r="A29" s="112"/>
      <c r="B29" s="595"/>
      <c r="C29" s="596"/>
      <c r="D29" s="599"/>
      <c r="E29" s="599"/>
      <c r="F29" s="599"/>
      <c r="G29" s="599"/>
      <c r="H29" s="599"/>
      <c r="I29" s="599"/>
      <c r="J29" s="230"/>
      <c r="K29" s="231"/>
      <c r="L29" s="232"/>
      <c r="M29" s="117"/>
      <c r="N29" s="74"/>
      <c r="O29" s="74"/>
      <c r="P29" s="74"/>
      <c r="Q29" s="74"/>
      <c r="R29" s="74"/>
    </row>
    <row r="30" spans="1:18" s="66" customFormat="1" ht="12.75">
      <c r="A30" s="112"/>
      <c r="B30" s="595"/>
      <c r="C30" s="596"/>
      <c r="D30" s="599"/>
      <c r="E30" s="599"/>
      <c r="F30" s="599"/>
      <c r="G30" s="599"/>
      <c r="H30" s="599"/>
      <c r="I30" s="599"/>
      <c r="J30" s="230"/>
      <c r="K30" s="231"/>
      <c r="L30" s="232"/>
      <c r="M30" s="117"/>
      <c r="N30" s="74"/>
      <c r="O30" s="74"/>
      <c r="P30" s="74"/>
      <c r="Q30" s="74"/>
      <c r="R30" s="74"/>
    </row>
    <row r="31" spans="1:18" s="66" customFormat="1" ht="12.75">
      <c r="A31" s="112"/>
      <c r="B31" s="595"/>
      <c r="C31" s="596"/>
      <c r="D31" s="599"/>
      <c r="E31" s="599"/>
      <c r="F31" s="599"/>
      <c r="G31" s="599"/>
      <c r="H31" s="599"/>
      <c r="I31" s="599"/>
      <c r="J31" s="230"/>
      <c r="K31" s="231"/>
      <c r="L31" s="232"/>
      <c r="M31" s="117"/>
      <c r="N31" s="74"/>
      <c r="O31" s="74"/>
      <c r="P31" s="74"/>
      <c r="Q31" s="74"/>
      <c r="R31" s="74"/>
    </row>
    <row r="32" spans="1:18" s="66" customFormat="1" ht="12.75">
      <c r="A32" s="112"/>
      <c r="B32" s="595"/>
      <c r="C32" s="596"/>
      <c r="D32" s="599"/>
      <c r="E32" s="599"/>
      <c r="F32" s="599"/>
      <c r="G32" s="599"/>
      <c r="H32" s="599"/>
      <c r="I32" s="599"/>
      <c r="J32" s="230"/>
      <c r="K32" s="231"/>
      <c r="L32" s="232"/>
      <c r="M32" s="117"/>
      <c r="N32" s="74"/>
      <c r="O32" s="74"/>
      <c r="P32" s="74"/>
      <c r="Q32" s="74"/>
      <c r="R32" s="74"/>
    </row>
    <row r="33" spans="1:18" s="66" customFormat="1" ht="12.75">
      <c r="A33" s="112"/>
      <c r="B33" s="595"/>
      <c r="C33" s="596"/>
      <c r="D33" s="599"/>
      <c r="E33" s="599"/>
      <c r="F33" s="599"/>
      <c r="G33" s="599"/>
      <c r="H33" s="599"/>
      <c r="I33" s="599"/>
      <c r="J33" s="230"/>
      <c r="K33" s="231"/>
      <c r="L33" s="232"/>
      <c r="M33" s="117"/>
      <c r="N33" s="74"/>
      <c r="O33" s="74"/>
      <c r="P33" s="74"/>
      <c r="Q33" s="74"/>
      <c r="R33" s="74"/>
    </row>
    <row r="34" spans="1:18" s="66" customFormat="1" ht="12.75">
      <c r="A34" s="112"/>
      <c r="B34" s="595"/>
      <c r="C34" s="596"/>
      <c r="D34" s="599"/>
      <c r="E34" s="599"/>
      <c r="F34" s="599"/>
      <c r="G34" s="599"/>
      <c r="H34" s="599"/>
      <c r="I34" s="599"/>
      <c r="J34" s="230"/>
      <c r="K34" s="231"/>
      <c r="L34" s="232"/>
      <c r="M34" s="117"/>
      <c r="N34" s="74"/>
      <c r="O34" s="74"/>
      <c r="P34" s="74"/>
      <c r="Q34" s="74"/>
      <c r="R34" s="74"/>
    </row>
    <row r="35" spans="1:18" s="66" customFormat="1" ht="12.75">
      <c r="A35" s="112"/>
      <c r="B35" s="595"/>
      <c r="C35" s="596"/>
      <c r="D35" s="599"/>
      <c r="E35" s="599"/>
      <c r="F35" s="599"/>
      <c r="G35" s="599"/>
      <c r="H35" s="599"/>
      <c r="I35" s="599"/>
      <c r="J35" s="230"/>
      <c r="K35" s="231"/>
      <c r="L35" s="232"/>
      <c r="M35" s="117"/>
      <c r="N35" s="74"/>
      <c r="O35" s="74"/>
      <c r="P35" s="74"/>
      <c r="Q35" s="74"/>
      <c r="R35" s="74"/>
    </row>
    <row r="36" spans="1:18" s="66" customFormat="1" ht="12.75">
      <c r="A36" s="112"/>
      <c r="B36" s="595"/>
      <c r="C36" s="596"/>
      <c r="D36" s="599"/>
      <c r="E36" s="599"/>
      <c r="F36" s="599"/>
      <c r="G36" s="599"/>
      <c r="H36" s="599"/>
      <c r="I36" s="599"/>
      <c r="J36" s="230"/>
      <c r="K36" s="231"/>
      <c r="L36" s="232"/>
      <c r="M36" s="117"/>
      <c r="N36" s="74"/>
      <c r="O36" s="74"/>
      <c r="P36" s="74"/>
      <c r="Q36" s="74"/>
      <c r="R36" s="74"/>
    </row>
    <row r="37" spans="1:18" s="66" customFormat="1" ht="12.75">
      <c r="A37" s="112"/>
      <c r="B37" s="595"/>
      <c r="C37" s="596"/>
      <c r="D37" s="599"/>
      <c r="E37" s="599"/>
      <c r="F37" s="599"/>
      <c r="G37" s="599"/>
      <c r="H37" s="599"/>
      <c r="I37" s="599"/>
      <c r="J37" s="230"/>
      <c r="K37" s="231"/>
      <c r="L37" s="232"/>
      <c r="M37" s="117"/>
      <c r="N37" s="74"/>
      <c r="O37" s="74"/>
      <c r="P37" s="74"/>
      <c r="Q37" s="74"/>
      <c r="R37" s="74"/>
    </row>
    <row r="38" spans="1:18" s="66" customFormat="1" ht="12.75">
      <c r="A38" s="112"/>
      <c r="B38" s="595"/>
      <c r="C38" s="596"/>
      <c r="D38" s="599"/>
      <c r="E38" s="599"/>
      <c r="F38" s="599"/>
      <c r="G38" s="599"/>
      <c r="H38" s="599"/>
      <c r="I38" s="599"/>
      <c r="J38" s="230"/>
      <c r="K38" s="231"/>
      <c r="L38" s="232"/>
      <c r="M38" s="117"/>
      <c r="N38" s="74"/>
      <c r="O38" s="74"/>
      <c r="P38" s="74"/>
      <c r="Q38" s="74"/>
      <c r="R38" s="74"/>
    </row>
    <row r="39" spans="1:18" s="66" customFormat="1" ht="12.75">
      <c r="A39" s="112"/>
      <c r="B39" s="595"/>
      <c r="C39" s="596"/>
      <c r="D39" s="599"/>
      <c r="E39" s="599"/>
      <c r="F39" s="599"/>
      <c r="G39" s="599"/>
      <c r="H39" s="599"/>
      <c r="I39" s="599"/>
      <c r="J39" s="230"/>
      <c r="K39" s="231"/>
      <c r="L39" s="232"/>
      <c r="M39" s="117"/>
      <c r="N39" s="74"/>
      <c r="O39" s="74"/>
      <c r="P39" s="74"/>
      <c r="Q39" s="74"/>
      <c r="R39" s="74"/>
    </row>
    <row r="40" spans="1:18" s="66" customFormat="1" ht="12.75">
      <c r="A40" s="112"/>
      <c r="B40" s="595"/>
      <c r="C40" s="596"/>
      <c r="D40" s="599"/>
      <c r="E40" s="599"/>
      <c r="F40" s="599"/>
      <c r="G40" s="599"/>
      <c r="H40" s="599"/>
      <c r="I40" s="599"/>
      <c r="J40" s="230"/>
      <c r="K40" s="231"/>
      <c r="L40" s="232"/>
      <c r="M40" s="117"/>
      <c r="N40" s="74"/>
      <c r="O40" s="74"/>
      <c r="P40" s="74"/>
      <c r="Q40" s="74"/>
      <c r="R40" s="74"/>
    </row>
    <row r="41" spans="1:18" s="66" customFormat="1" ht="12.75">
      <c r="A41" s="112"/>
      <c r="B41" s="595"/>
      <c r="C41" s="596"/>
      <c r="D41" s="599"/>
      <c r="E41" s="599"/>
      <c r="F41" s="599"/>
      <c r="G41" s="599"/>
      <c r="H41" s="599"/>
      <c r="I41" s="599"/>
      <c r="J41" s="230"/>
      <c r="K41" s="231"/>
      <c r="L41" s="232"/>
      <c r="M41" s="117"/>
      <c r="N41" s="74"/>
      <c r="O41" s="74"/>
      <c r="P41" s="74"/>
      <c r="Q41" s="74"/>
      <c r="R41" s="74"/>
    </row>
    <row r="42" spans="1:18" s="66" customFormat="1" ht="12.75">
      <c r="A42" s="112"/>
      <c r="B42" s="595"/>
      <c r="C42" s="596"/>
      <c r="D42" s="599"/>
      <c r="E42" s="599"/>
      <c r="F42" s="599"/>
      <c r="G42" s="599"/>
      <c r="H42" s="599"/>
      <c r="I42" s="599"/>
      <c r="J42" s="230"/>
      <c r="K42" s="231"/>
      <c r="L42" s="232"/>
      <c r="M42" s="117"/>
      <c r="N42" s="74"/>
      <c r="O42" s="74"/>
      <c r="P42" s="74"/>
      <c r="Q42" s="74"/>
      <c r="R42" s="74"/>
    </row>
    <row r="43" spans="1:18" s="66" customFormat="1" ht="12.75">
      <c r="A43" s="112"/>
      <c r="B43" s="595"/>
      <c r="C43" s="596"/>
      <c r="D43" s="599"/>
      <c r="E43" s="599"/>
      <c r="F43" s="599"/>
      <c r="G43" s="599"/>
      <c r="H43" s="599"/>
      <c r="I43" s="599"/>
      <c r="J43" s="230"/>
      <c r="K43" s="231"/>
      <c r="L43" s="232"/>
      <c r="M43" s="117"/>
      <c r="N43" s="74"/>
      <c r="O43" s="74"/>
      <c r="P43" s="74"/>
      <c r="Q43" s="74"/>
      <c r="R43" s="74"/>
    </row>
    <row r="44" spans="1:18" s="66" customFormat="1" ht="12.75">
      <c r="A44" s="112"/>
      <c r="B44" s="595"/>
      <c r="C44" s="596"/>
      <c r="D44" s="599"/>
      <c r="E44" s="599"/>
      <c r="F44" s="599"/>
      <c r="G44" s="599"/>
      <c r="H44" s="599"/>
      <c r="I44" s="599"/>
      <c r="J44" s="230"/>
      <c r="K44" s="231"/>
      <c r="L44" s="232"/>
      <c r="M44" s="117"/>
      <c r="N44" s="74"/>
      <c r="O44" s="74"/>
      <c r="P44" s="74"/>
      <c r="Q44" s="74"/>
      <c r="R44" s="74"/>
    </row>
    <row r="45" spans="1:18" s="66" customFormat="1" ht="12.75">
      <c r="A45" s="112"/>
      <c r="B45" s="595"/>
      <c r="C45" s="596"/>
      <c r="D45" s="599"/>
      <c r="E45" s="599"/>
      <c r="F45" s="599"/>
      <c r="G45" s="599"/>
      <c r="H45" s="599"/>
      <c r="I45" s="599"/>
      <c r="J45" s="230"/>
      <c r="K45" s="231"/>
      <c r="L45" s="232"/>
      <c r="M45" s="117"/>
      <c r="N45" s="74"/>
      <c r="O45" s="74"/>
      <c r="P45" s="74"/>
      <c r="Q45" s="74"/>
      <c r="R45" s="74"/>
    </row>
    <row r="46" spans="1:18" s="66" customFormat="1" ht="12.75">
      <c r="A46" s="112"/>
      <c r="B46" s="595"/>
      <c r="C46" s="596"/>
      <c r="D46" s="599"/>
      <c r="E46" s="599"/>
      <c r="F46" s="599"/>
      <c r="G46" s="599"/>
      <c r="H46" s="599"/>
      <c r="I46" s="599"/>
      <c r="J46" s="230"/>
      <c r="K46" s="231"/>
      <c r="L46" s="232"/>
      <c r="M46" s="117"/>
      <c r="N46" s="74"/>
      <c r="O46" s="74"/>
      <c r="P46" s="74"/>
      <c r="Q46" s="74"/>
      <c r="R46" s="74"/>
    </row>
    <row r="47" spans="1:18" s="66" customFormat="1" ht="12.75">
      <c r="A47" s="112"/>
      <c r="B47" s="595"/>
      <c r="C47" s="596"/>
      <c r="D47" s="599"/>
      <c r="E47" s="599"/>
      <c r="F47" s="599"/>
      <c r="G47" s="599"/>
      <c r="H47" s="599"/>
      <c r="I47" s="599"/>
      <c r="J47" s="230"/>
      <c r="K47" s="231"/>
      <c r="L47" s="232"/>
      <c r="M47" s="117"/>
      <c r="N47" s="74"/>
      <c r="O47" s="74"/>
      <c r="P47" s="74"/>
      <c r="Q47" s="74"/>
      <c r="R47" s="74"/>
    </row>
    <row r="48" spans="1:18" s="66" customFormat="1" ht="12.75">
      <c r="A48" s="112"/>
      <c r="B48" s="595"/>
      <c r="C48" s="596"/>
      <c r="D48" s="599"/>
      <c r="E48" s="599"/>
      <c r="F48" s="599"/>
      <c r="G48" s="599"/>
      <c r="H48" s="599"/>
      <c r="I48" s="599"/>
      <c r="J48" s="230"/>
      <c r="K48" s="231"/>
      <c r="L48" s="232"/>
      <c r="M48" s="117"/>
      <c r="N48" s="74"/>
      <c r="O48" s="74"/>
      <c r="P48" s="74"/>
      <c r="Q48" s="74"/>
      <c r="R48" s="74"/>
    </row>
    <row r="49" spans="1:18" s="66" customFormat="1" ht="12.75">
      <c r="A49" s="112"/>
      <c r="B49" s="595"/>
      <c r="C49" s="596"/>
      <c r="D49" s="599"/>
      <c r="E49" s="599"/>
      <c r="F49" s="599"/>
      <c r="G49" s="599"/>
      <c r="H49" s="599"/>
      <c r="I49" s="599"/>
      <c r="J49" s="230"/>
      <c r="K49" s="231"/>
      <c r="L49" s="232"/>
      <c r="M49" s="117"/>
      <c r="N49" s="74"/>
      <c r="O49" s="74"/>
      <c r="P49" s="74"/>
      <c r="Q49" s="74"/>
      <c r="R49" s="74"/>
    </row>
    <row r="50" spans="1:18" s="66" customFormat="1" ht="12.75">
      <c r="A50" s="112"/>
      <c r="B50" s="595"/>
      <c r="C50" s="596"/>
      <c r="D50" s="599"/>
      <c r="E50" s="599"/>
      <c r="F50" s="599"/>
      <c r="G50" s="599"/>
      <c r="H50" s="599"/>
      <c r="I50" s="599"/>
      <c r="J50" s="230"/>
      <c r="K50" s="231"/>
      <c r="L50" s="232"/>
      <c r="M50" s="117"/>
      <c r="N50" s="74"/>
      <c r="O50" s="74"/>
      <c r="P50" s="74"/>
      <c r="Q50" s="74"/>
      <c r="R50" s="74"/>
    </row>
    <row r="51" spans="1:18" s="66" customFormat="1" ht="12.75">
      <c r="A51" s="112"/>
      <c r="B51" s="595"/>
      <c r="C51" s="596"/>
      <c r="D51" s="599"/>
      <c r="E51" s="599"/>
      <c r="F51" s="599"/>
      <c r="G51" s="599"/>
      <c r="H51" s="599"/>
      <c r="I51" s="599"/>
      <c r="J51" s="230"/>
      <c r="K51" s="231"/>
      <c r="L51" s="232"/>
      <c r="M51" s="117"/>
      <c r="N51" s="74"/>
      <c r="O51" s="74"/>
      <c r="P51" s="74"/>
      <c r="Q51" s="74"/>
      <c r="R51" s="74"/>
    </row>
    <row r="52" spans="1:18" s="66" customFormat="1" ht="12.75">
      <c r="A52" s="112"/>
      <c r="B52" s="595"/>
      <c r="C52" s="596"/>
      <c r="D52" s="599"/>
      <c r="E52" s="599"/>
      <c r="F52" s="599"/>
      <c r="G52" s="599"/>
      <c r="H52" s="599"/>
      <c r="I52" s="599"/>
      <c r="J52" s="230"/>
      <c r="K52" s="231"/>
      <c r="L52" s="232"/>
      <c r="M52" s="118"/>
      <c r="N52" s="78"/>
      <c r="O52" s="78"/>
      <c r="P52" s="78"/>
      <c r="Q52" s="78"/>
      <c r="R52" s="78"/>
    </row>
    <row r="53" spans="1:18" s="66" customFormat="1" ht="12.75">
      <c r="A53" s="112"/>
      <c r="B53" s="595"/>
      <c r="C53" s="596"/>
      <c r="D53" s="599"/>
      <c r="E53" s="599"/>
      <c r="F53" s="599"/>
      <c r="G53" s="599"/>
      <c r="H53" s="599"/>
      <c r="I53" s="599"/>
      <c r="J53" s="230"/>
      <c r="K53" s="231"/>
      <c r="L53" s="232"/>
      <c r="M53" s="119"/>
      <c r="N53" s="79"/>
      <c r="O53" s="79"/>
      <c r="P53" s="79"/>
      <c r="Q53" s="79"/>
      <c r="R53" s="79"/>
    </row>
    <row r="54" spans="1:18" s="66" customFormat="1" ht="12.75">
      <c r="A54" s="112"/>
      <c r="B54" s="595"/>
      <c r="C54" s="596"/>
      <c r="D54" s="599"/>
      <c r="E54" s="599"/>
      <c r="F54" s="599"/>
      <c r="G54" s="599"/>
      <c r="H54" s="599"/>
      <c r="I54" s="599"/>
      <c r="J54" s="230"/>
      <c r="K54" s="231"/>
      <c r="L54" s="232"/>
      <c r="M54" s="120"/>
      <c r="N54" s="80"/>
      <c r="O54" s="80"/>
      <c r="P54" s="80"/>
      <c r="Q54" s="80"/>
      <c r="R54" s="80"/>
    </row>
    <row r="55" spans="1:18" s="66" customFormat="1" ht="12.75">
      <c r="A55" s="112"/>
      <c r="B55" s="595"/>
      <c r="C55" s="596"/>
      <c r="D55" s="599"/>
      <c r="E55" s="599"/>
      <c r="F55" s="599"/>
      <c r="G55" s="599"/>
      <c r="H55" s="599"/>
      <c r="I55" s="599"/>
      <c r="J55" s="230"/>
      <c r="K55" s="231"/>
      <c r="L55" s="232"/>
      <c r="M55" s="120"/>
      <c r="N55" s="80"/>
      <c r="O55" s="80"/>
      <c r="P55" s="80"/>
      <c r="Q55" s="80"/>
      <c r="R55" s="80"/>
    </row>
    <row r="56" spans="1:18" s="66" customFormat="1" ht="12.75">
      <c r="A56" s="112"/>
      <c r="B56" s="595"/>
      <c r="C56" s="596"/>
      <c r="D56" s="599"/>
      <c r="E56" s="599"/>
      <c r="F56" s="599"/>
      <c r="G56" s="599"/>
      <c r="H56" s="599"/>
      <c r="I56" s="599"/>
      <c r="J56" s="230"/>
      <c r="K56" s="231"/>
      <c r="L56" s="232"/>
      <c r="M56" s="120"/>
      <c r="N56" s="80"/>
      <c r="O56" s="80"/>
      <c r="P56" s="80"/>
      <c r="Q56" s="80"/>
      <c r="R56" s="80"/>
    </row>
    <row r="57" spans="1:18" s="66" customFormat="1" ht="12.75">
      <c r="A57" s="112"/>
      <c r="B57" s="595"/>
      <c r="C57" s="596"/>
      <c r="D57" s="599"/>
      <c r="E57" s="599"/>
      <c r="F57" s="599"/>
      <c r="G57" s="599"/>
      <c r="H57" s="599"/>
      <c r="I57" s="599"/>
      <c r="J57" s="230"/>
      <c r="K57" s="231"/>
      <c r="L57" s="232"/>
      <c r="M57" s="120"/>
      <c r="N57" s="80"/>
      <c r="O57" s="80"/>
      <c r="P57" s="80"/>
      <c r="Q57" s="80"/>
      <c r="R57" s="80"/>
    </row>
    <row r="58" spans="1:18" s="66" customFormat="1" ht="12.75">
      <c r="A58" s="112"/>
      <c r="B58" s="595"/>
      <c r="C58" s="596"/>
      <c r="D58" s="599"/>
      <c r="E58" s="599"/>
      <c r="F58" s="599"/>
      <c r="G58" s="599"/>
      <c r="H58" s="599"/>
      <c r="I58" s="599"/>
      <c r="J58" s="230"/>
      <c r="K58" s="231"/>
      <c r="L58" s="232"/>
      <c r="M58" s="120"/>
      <c r="N58" s="80"/>
      <c r="O58" s="80"/>
      <c r="P58" s="80"/>
      <c r="Q58" s="80"/>
      <c r="R58" s="80"/>
    </row>
    <row r="59" spans="1:18" s="66" customFormat="1" ht="12.75">
      <c r="A59" s="112"/>
      <c r="B59" s="595"/>
      <c r="C59" s="596"/>
      <c r="D59" s="599"/>
      <c r="E59" s="599"/>
      <c r="F59" s="599"/>
      <c r="G59" s="599"/>
      <c r="H59" s="599"/>
      <c r="I59" s="599"/>
      <c r="J59" s="230"/>
      <c r="K59" s="231"/>
      <c r="L59" s="232"/>
      <c r="M59" s="120"/>
      <c r="N59" s="80"/>
      <c r="O59" s="80"/>
      <c r="P59" s="80"/>
      <c r="Q59" s="80"/>
      <c r="R59" s="80"/>
    </row>
    <row r="60" spans="1:18" s="66" customFormat="1" ht="13.5" thickBot="1">
      <c r="A60" s="112"/>
      <c r="B60" s="593"/>
      <c r="C60" s="594"/>
      <c r="D60" s="600"/>
      <c r="E60" s="600"/>
      <c r="F60" s="600"/>
      <c r="G60" s="600"/>
      <c r="H60" s="600"/>
      <c r="I60" s="600"/>
      <c r="J60" s="233"/>
      <c r="K60" s="234"/>
      <c r="L60" s="235"/>
      <c r="M60" s="120"/>
      <c r="N60" s="80"/>
      <c r="O60" s="80"/>
      <c r="P60" s="80"/>
      <c r="Q60" s="80"/>
      <c r="R60" s="80"/>
    </row>
    <row r="61" spans="1:18" s="66" customFormat="1" ht="12.75">
      <c r="A61" s="112"/>
      <c r="B61" s="74"/>
      <c r="C61" s="74"/>
      <c r="D61" s="74"/>
      <c r="E61" s="74"/>
      <c r="F61" s="598">
        <f>SUM(F18:G60)</f>
        <v>16</v>
      </c>
      <c r="G61" s="598"/>
      <c r="H61" s="598">
        <f>SUM(H18:I60)</f>
        <v>0</v>
      </c>
      <c r="I61" s="598"/>
      <c r="J61" s="69">
        <f>SUM(J18:J60)</f>
        <v>1</v>
      </c>
      <c r="K61" s="69"/>
      <c r="L61" s="69">
        <f>SUM(L18:L60)</f>
        <v>1</v>
      </c>
      <c r="M61" s="117"/>
      <c r="N61" s="74"/>
      <c r="O61" s="74"/>
      <c r="P61" s="74"/>
      <c r="Q61" s="74"/>
      <c r="R61" s="74"/>
    </row>
    <row r="62" spans="1:18" ht="12.75">
      <c r="A62" s="123"/>
      <c r="B62" s="592" t="s">
        <v>157</v>
      </c>
      <c r="C62" s="597"/>
      <c r="D62" s="597"/>
      <c r="E62" s="597"/>
      <c r="F62" s="597"/>
      <c r="G62" s="597"/>
      <c r="H62" s="597"/>
      <c r="I62" s="597"/>
      <c r="J62" s="597"/>
      <c r="K62" s="597"/>
      <c r="L62" s="597"/>
      <c r="M62" s="124"/>
      <c r="N62" s="81"/>
      <c r="O62" s="81"/>
      <c r="P62" s="81"/>
      <c r="Q62" s="81"/>
      <c r="R62" s="81"/>
    </row>
    <row r="63" spans="1:18" ht="12.75">
      <c r="A63" s="121"/>
      <c r="B63" s="125"/>
      <c r="C63" s="126"/>
      <c r="D63" s="126"/>
      <c r="E63" s="126"/>
      <c r="F63" s="126"/>
      <c r="G63" s="126"/>
      <c r="H63" s="126"/>
      <c r="I63" s="126"/>
      <c r="J63" s="126"/>
      <c r="K63" s="126"/>
      <c r="L63" s="126"/>
      <c r="M63" s="122"/>
      <c r="N63" s="81"/>
      <c r="O63" s="81"/>
      <c r="P63" s="81"/>
      <c r="Q63" s="81"/>
      <c r="R63" s="81"/>
    </row>
  </sheetData>
  <sheetProtection/>
  <mergeCells count="189">
    <mergeCell ref="B12:H12"/>
    <mergeCell ref="J15:L16"/>
    <mergeCell ref="B2:L2"/>
    <mergeCell ref="B7:L7"/>
    <mergeCell ref="C4:F4"/>
    <mergeCell ref="H4:J4"/>
    <mergeCell ref="H15:I16"/>
    <mergeCell ref="F15:G16"/>
    <mergeCell ref="B15:C16"/>
    <mergeCell ref="D15:E16"/>
    <mergeCell ref="H33:I33"/>
    <mergeCell ref="H18:I18"/>
    <mergeCell ref="H19:I19"/>
    <mergeCell ref="H29:I29"/>
    <mergeCell ref="H30:I30"/>
    <mergeCell ref="H31:I31"/>
    <mergeCell ref="H28:I28"/>
    <mergeCell ref="H20:I20"/>
    <mergeCell ref="H25:I25"/>
    <mergeCell ref="F19:G19"/>
    <mergeCell ref="D22:E22"/>
    <mergeCell ref="B20:C20"/>
    <mergeCell ref="H17:I17"/>
    <mergeCell ref="B17:C17"/>
    <mergeCell ref="D17:E17"/>
    <mergeCell ref="F17:G17"/>
    <mergeCell ref="B18:C18"/>
    <mergeCell ref="F18:G18"/>
    <mergeCell ref="B21:C21"/>
    <mergeCell ref="B22:C22"/>
    <mergeCell ref="D18:E18"/>
    <mergeCell ref="D19:E19"/>
    <mergeCell ref="D20:E20"/>
    <mergeCell ref="D21:E21"/>
    <mergeCell ref="B19:C19"/>
    <mergeCell ref="B30:C30"/>
    <mergeCell ref="B24:C24"/>
    <mergeCell ref="B26:C26"/>
    <mergeCell ref="B27:C27"/>
    <mergeCell ref="B28:C28"/>
    <mergeCell ref="B25:C25"/>
    <mergeCell ref="F24:G24"/>
    <mergeCell ref="F25:G25"/>
    <mergeCell ref="D23:E23"/>
    <mergeCell ref="B29:C29"/>
    <mergeCell ref="D26:E26"/>
    <mergeCell ref="D27:E27"/>
    <mergeCell ref="D28:E28"/>
    <mergeCell ref="B23:C23"/>
    <mergeCell ref="F29:G29"/>
    <mergeCell ref="F20:G20"/>
    <mergeCell ref="F21:G21"/>
    <mergeCell ref="F22:G22"/>
    <mergeCell ref="F23:G23"/>
    <mergeCell ref="F35:G35"/>
    <mergeCell ref="D30:E30"/>
    <mergeCell ref="F26:G26"/>
    <mergeCell ref="F27:G27"/>
    <mergeCell ref="D29:E29"/>
    <mergeCell ref="F30:G30"/>
    <mergeCell ref="D31:E31"/>
    <mergeCell ref="H21:I21"/>
    <mergeCell ref="H22:I22"/>
    <mergeCell ref="H23:I23"/>
    <mergeCell ref="H24:I24"/>
    <mergeCell ref="F28:G28"/>
    <mergeCell ref="H26:I26"/>
    <mergeCell ref="H27:I27"/>
    <mergeCell ref="D24:E24"/>
    <mergeCell ref="D25:E25"/>
    <mergeCell ref="D32:E32"/>
    <mergeCell ref="D33:E33"/>
    <mergeCell ref="D34:E34"/>
    <mergeCell ref="D35:E35"/>
    <mergeCell ref="F41:G41"/>
    <mergeCell ref="H40:I40"/>
    <mergeCell ref="H41:I41"/>
    <mergeCell ref="F39:G39"/>
    <mergeCell ref="F40:G40"/>
    <mergeCell ref="H32:I32"/>
    <mergeCell ref="F31:G31"/>
    <mergeCell ref="F38:G38"/>
    <mergeCell ref="H39:I39"/>
    <mergeCell ref="F36:G36"/>
    <mergeCell ref="H35:I35"/>
    <mergeCell ref="F32:G32"/>
    <mergeCell ref="F33:G33"/>
    <mergeCell ref="H34:I34"/>
    <mergeCell ref="F34:G34"/>
    <mergeCell ref="F37:G37"/>
    <mergeCell ref="H50:I50"/>
    <mergeCell ref="H51:I51"/>
    <mergeCell ref="F50:G50"/>
    <mergeCell ref="F46:G46"/>
    <mergeCell ref="F47:G47"/>
    <mergeCell ref="H49:I49"/>
    <mergeCell ref="F44:G44"/>
    <mergeCell ref="H38:I38"/>
    <mergeCell ref="F48:G48"/>
    <mergeCell ref="H36:I36"/>
    <mergeCell ref="H37:I37"/>
    <mergeCell ref="H48:I48"/>
    <mergeCell ref="H47:I47"/>
    <mergeCell ref="H42:I42"/>
    <mergeCell ref="H45:I45"/>
    <mergeCell ref="H46:I46"/>
    <mergeCell ref="H43:I43"/>
    <mergeCell ref="H44:I44"/>
    <mergeCell ref="H57:I57"/>
    <mergeCell ref="F58:G58"/>
    <mergeCell ref="F53:G53"/>
    <mergeCell ref="F54:G54"/>
    <mergeCell ref="F55:G55"/>
    <mergeCell ref="F56:G56"/>
    <mergeCell ref="H58:I58"/>
    <mergeCell ref="H55:I55"/>
    <mergeCell ref="H54:I54"/>
    <mergeCell ref="D43:E43"/>
    <mergeCell ref="F42:G42"/>
    <mergeCell ref="F43:G43"/>
    <mergeCell ref="H56:I56"/>
    <mergeCell ref="H52:I52"/>
    <mergeCell ref="D42:E42"/>
    <mergeCell ref="D46:E46"/>
    <mergeCell ref="D47:E47"/>
    <mergeCell ref="F51:G51"/>
    <mergeCell ref="B36:C36"/>
    <mergeCell ref="B41:C41"/>
    <mergeCell ref="D39:E39"/>
    <mergeCell ref="D36:E36"/>
    <mergeCell ref="D40:E40"/>
    <mergeCell ref="D41:E41"/>
    <mergeCell ref="D38:E38"/>
    <mergeCell ref="D44:E44"/>
    <mergeCell ref="D45:E45"/>
    <mergeCell ref="B31:C31"/>
    <mergeCell ref="B32:C32"/>
    <mergeCell ref="B33:C33"/>
    <mergeCell ref="B34:C34"/>
    <mergeCell ref="D37:E37"/>
    <mergeCell ref="B38:C38"/>
    <mergeCell ref="B37:C37"/>
    <mergeCell ref="B35:C35"/>
    <mergeCell ref="B47:C47"/>
    <mergeCell ref="B39:C39"/>
    <mergeCell ref="B40:C40"/>
    <mergeCell ref="B46:C46"/>
    <mergeCell ref="B43:C43"/>
    <mergeCell ref="B42:C42"/>
    <mergeCell ref="H60:I60"/>
    <mergeCell ref="B52:C52"/>
    <mergeCell ref="D53:E53"/>
    <mergeCell ref="D54:E54"/>
    <mergeCell ref="F57:G57"/>
    <mergeCell ref="H53:I53"/>
    <mergeCell ref="B57:C57"/>
    <mergeCell ref="B56:C56"/>
    <mergeCell ref="D58:E58"/>
    <mergeCell ref="F52:G52"/>
    <mergeCell ref="B55:C55"/>
    <mergeCell ref="B58:C58"/>
    <mergeCell ref="B48:C48"/>
    <mergeCell ref="D52:E52"/>
    <mergeCell ref="D56:E56"/>
    <mergeCell ref="D50:E50"/>
    <mergeCell ref="B49:C49"/>
    <mergeCell ref="B53:C53"/>
    <mergeCell ref="D48:E48"/>
    <mergeCell ref="D51:E51"/>
    <mergeCell ref="B59:C59"/>
    <mergeCell ref="D57:E57"/>
    <mergeCell ref="F49:G49"/>
    <mergeCell ref="B44:C44"/>
    <mergeCell ref="B45:C45"/>
    <mergeCell ref="F45:G45"/>
    <mergeCell ref="D55:E55"/>
    <mergeCell ref="D49:E49"/>
    <mergeCell ref="B51:C51"/>
    <mergeCell ref="B50:C50"/>
    <mergeCell ref="B60:C60"/>
    <mergeCell ref="B54:C54"/>
    <mergeCell ref="B62:L62"/>
    <mergeCell ref="F61:G61"/>
    <mergeCell ref="D59:E59"/>
    <mergeCell ref="D60:E60"/>
    <mergeCell ref="F59:G59"/>
    <mergeCell ref="F60:G60"/>
    <mergeCell ref="H59:I59"/>
    <mergeCell ref="H61:I61"/>
  </mergeCells>
  <hyperlinks>
    <hyperlink ref="B62" r:id="rId1" display="www.imdacil.de"/>
  </hyperlinks>
  <printOptions horizontalCentered="1"/>
  <pageMargins left="0.2755905511811024" right="0.2755905511811024" top="0.3937007874015748" bottom="0.3937007874015748" header="0.5118110236220472" footer="0.5118110236220472"/>
  <pageSetup horizontalDpi="600" verticalDpi="600" orientation="portrait" paperSize="9"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T62"/>
  <sheetViews>
    <sheetView zoomScalePageLayoutView="0" workbookViewId="0" topLeftCell="A1">
      <selection activeCell="F20" sqref="F20"/>
    </sheetView>
  </sheetViews>
  <sheetFormatPr defaultColWidth="10.00390625" defaultRowHeight="15.75"/>
  <cols>
    <col min="1" max="1" width="2.625" style="9" customWidth="1"/>
    <col min="2" max="2" width="10.00390625" style="9" customWidth="1"/>
    <col min="3" max="3" width="4.125" style="9" customWidth="1"/>
    <col min="4" max="4" width="3.625" style="9" bestFit="1" customWidth="1"/>
    <col min="5" max="5" width="2.00390625" style="9" bestFit="1" customWidth="1"/>
    <col min="6" max="6" width="4.00390625" style="9" bestFit="1" customWidth="1"/>
    <col min="7" max="7" width="4.25390625" style="9" bestFit="1" customWidth="1"/>
    <col min="8" max="8" width="2.875" style="9" bestFit="1" customWidth="1"/>
    <col min="9" max="9" width="4.125" style="9" bestFit="1" customWidth="1"/>
    <col min="10" max="10" width="9.625" style="9" customWidth="1"/>
    <col min="11" max="11" width="3.625" style="9" bestFit="1" customWidth="1"/>
    <col min="12" max="12" width="3.625" style="9" customWidth="1"/>
    <col min="13" max="13" width="3.625" style="9" bestFit="1" customWidth="1"/>
    <col min="14" max="14" width="2.00390625" style="9" bestFit="1" customWidth="1"/>
    <col min="15" max="15" width="4.00390625" style="9" bestFit="1" customWidth="1"/>
    <col min="16" max="16" width="4.25390625" style="9" bestFit="1" customWidth="1"/>
    <col min="17" max="17" width="2.875" style="9" bestFit="1" customWidth="1"/>
    <col min="18" max="18" width="4.125" style="9" bestFit="1" customWidth="1"/>
    <col min="19" max="20" width="2.625" style="9" customWidth="1"/>
    <col min="21" max="16384" width="10.00390625" style="9" customWidth="1"/>
  </cols>
  <sheetData>
    <row r="1" spans="1:20" ht="13.5" thickBot="1">
      <c r="A1" s="51"/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3"/>
    </row>
    <row r="2" spans="1:20" ht="12.75" customHeight="1" thickBot="1">
      <c r="A2" s="54"/>
      <c r="B2" s="667" t="s">
        <v>227</v>
      </c>
      <c r="C2" s="668"/>
      <c r="D2" s="668"/>
      <c r="E2" s="668"/>
      <c r="F2" s="668"/>
      <c r="G2" s="668"/>
      <c r="H2" s="668"/>
      <c r="I2" s="668"/>
      <c r="J2" s="668"/>
      <c r="K2" s="668"/>
      <c r="L2" s="668"/>
      <c r="M2" s="668"/>
      <c r="N2" s="668"/>
      <c r="O2" s="668"/>
      <c r="P2" s="668"/>
      <c r="Q2" s="669"/>
      <c r="R2" s="55"/>
      <c r="S2" s="55"/>
      <c r="T2" s="56"/>
    </row>
    <row r="3" spans="1:20" ht="12.75">
      <c r="A3" s="54"/>
      <c r="B3" s="58" t="s">
        <v>4</v>
      </c>
      <c r="C3" s="374"/>
      <c r="D3" s="672" t="s">
        <v>98</v>
      </c>
      <c r="E3" s="666"/>
      <c r="F3" s="666"/>
      <c r="G3" s="666"/>
      <c r="H3" s="666"/>
      <c r="I3" s="666"/>
      <c r="J3" s="666"/>
      <c r="K3" s="666"/>
      <c r="L3" s="666"/>
      <c r="M3" s="666"/>
      <c r="N3" s="666"/>
      <c r="O3" s="666"/>
      <c r="P3" s="666"/>
      <c r="Q3" s="673"/>
      <c r="R3" s="55"/>
      <c r="S3" s="55"/>
      <c r="T3" s="56"/>
    </row>
    <row r="4" spans="1:20" ht="12.75">
      <c r="A4" s="54"/>
      <c r="B4" s="59" t="s">
        <v>5</v>
      </c>
      <c r="C4" s="375"/>
      <c r="D4" s="642" t="s">
        <v>99</v>
      </c>
      <c r="E4" s="635"/>
      <c r="F4" s="635"/>
      <c r="G4" s="635"/>
      <c r="H4" s="635"/>
      <c r="I4" s="635"/>
      <c r="J4" s="635"/>
      <c r="K4" s="635"/>
      <c r="L4" s="635"/>
      <c r="M4" s="635"/>
      <c r="N4" s="635"/>
      <c r="O4" s="635"/>
      <c r="P4" s="635"/>
      <c r="Q4" s="643"/>
      <c r="R4" s="55"/>
      <c r="S4" s="55"/>
      <c r="T4" s="56"/>
    </row>
    <row r="5" spans="1:20" ht="12.75">
      <c r="A5" s="54"/>
      <c r="B5" s="59" t="s">
        <v>8</v>
      </c>
      <c r="C5" s="375"/>
      <c r="D5" s="642" t="s">
        <v>100</v>
      </c>
      <c r="E5" s="635"/>
      <c r="F5" s="635"/>
      <c r="G5" s="635"/>
      <c r="H5" s="635"/>
      <c r="I5" s="635"/>
      <c r="J5" s="635"/>
      <c r="K5" s="635"/>
      <c r="L5" s="635"/>
      <c r="M5" s="635"/>
      <c r="N5" s="635"/>
      <c r="O5" s="635"/>
      <c r="P5" s="635"/>
      <c r="Q5" s="643"/>
      <c r="R5" s="55"/>
      <c r="S5" s="55"/>
      <c r="T5" s="56"/>
    </row>
    <row r="6" spans="1:20" ht="12.75">
      <c r="A6" s="54"/>
      <c r="B6" s="59" t="s">
        <v>84</v>
      </c>
      <c r="C6" s="375"/>
      <c r="D6" s="642" t="s">
        <v>101</v>
      </c>
      <c r="E6" s="635"/>
      <c r="F6" s="635"/>
      <c r="G6" s="635"/>
      <c r="H6" s="635"/>
      <c r="I6" s="635"/>
      <c r="J6" s="635"/>
      <c r="K6" s="635"/>
      <c r="L6" s="635"/>
      <c r="M6" s="635"/>
      <c r="N6" s="635"/>
      <c r="O6" s="635"/>
      <c r="P6" s="635"/>
      <c r="Q6" s="643"/>
      <c r="R6" s="55"/>
      <c r="S6" s="55"/>
      <c r="T6" s="56"/>
    </row>
    <row r="7" spans="1:20" ht="12.75">
      <c r="A7" s="54"/>
      <c r="B7" s="59"/>
      <c r="C7" s="375"/>
      <c r="D7" s="642" t="s">
        <v>102</v>
      </c>
      <c r="E7" s="635"/>
      <c r="F7" s="635"/>
      <c r="G7" s="635"/>
      <c r="H7" s="635"/>
      <c r="I7" s="635"/>
      <c r="J7" s="635"/>
      <c r="K7" s="635"/>
      <c r="L7" s="635"/>
      <c r="M7" s="635"/>
      <c r="N7" s="635"/>
      <c r="O7" s="635"/>
      <c r="P7" s="635"/>
      <c r="Q7" s="643"/>
      <c r="R7" s="55"/>
      <c r="S7" s="55"/>
      <c r="T7" s="56"/>
    </row>
    <row r="8" spans="1:20" ht="12.75">
      <c r="A8" s="54"/>
      <c r="B8" s="59"/>
      <c r="C8" s="375"/>
      <c r="D8" s="642" t="s">
        <v>103</v>
      </c>
      <c r="E8" s="635"/>
      <c r="F8" s="635"/>
      <c r="G8" s="635"/>
      <c r="H8" s="635"/>
      <c r="I8" s="635"/>
      <c r="J8" s="635"/>
      <c r="K8" s="635"/>
      <c r="L8" s="635"/>
      <c r="M8" s="635"/>
      <c r="N8" s="635"/>
      <c r="O8" s="635"/>
      <c r="P8" s="635"/>
      <c r="Q8" s="643"/>
      <c r="R8" s="55"/>
      <c r="S8" s="55"/>
      <c r="T8" s="56"/>
    </row>
    <row r="9" spans="1:20" ht="12.75">
      <c r="A9" s="54"/>
      <c r="B9" s="59"/>
      <c r="C9" s="375"/>
      <c r="D9" s="642" t="s">
        <v>104</v>
      </c>
      <c r="E9" s="635"/>
      <c r="F9" s="635"/>
      <c r="G9" s="635"/>
      <c r="H9" s="635"/>
      <c r="I9" s="635"/>
      <c r="J9" s="635"/>
      <c r="K9" s="635"/>
      <c r="L9" s="635"/>
      <c r="M9" s="635"/>
      <c r="N9" s="635"/>
      <c r="O9" s="635"/>
      <c r="P9" s="635"/>
      <c r="Q9" s="643"/>
      <c r="R9" s="55"/>
      <c r="S9" s="55"/>
      <c r="T9" s="56"/>
    </row>
    <row r="10" spans="1:20" ht="12.75">
      <c r="A10" s="54"/>
      <c r="B10" s="59"/>
      <c r="C10" s="375"/>
      <c r="D10" s="642" t="s">
        <v>105</v>
      </c>
      <c r="E10" s="635"/>
      <c r="F10" s="635"/>
      <c r="G10" s="635"/>
      <c r="H10" s="635"/>
      <c r="I10" s="635"/>
      <c r="J10" s="635"/>
      <c r="K10" s="635"/>
      <c r="L10" s="635"/>
      <c r="M10" s="635"/>
      <c r="N10" s="635"/>
      <c r="O10" s="635"/>
      <c r="P10" s="635"/>
      <c r="Q10" s="643"/>
      <c r="R10" s="55"/>
      <c r="S10" s="55"/>
      <c r="T10" s="56"/>
    </row>
    <row r="11" spans="1:20" ht="12.75">
      <c r="A11" s="54"/>
      <c r="B11" s="59"/>
      <c r="C11" s="375"/>
      <c r="D11" s="642" t="s">
        <v>106</v>
      </c>
      <c r="E11" s="635"/>
      <c r="F11" s="635"/>
      <c r="G11" s="635"/>
      <c r="H11" s="635"/>
      <c r="I11" s="635"/>
      <c r="J11" s="635"/>
      <c r="K11" s="635"/>
      <c r="L11" s="635"/>
      <c r="M11" s="635"/>
      <c r="N11" s="635"/>
      <c r="O11" s="635"/>
      <c r="P11" s="635"/>
      <c r="Q11" s="643"/>
      <c r="R11" s="55"/>
      <c r="S11" s="55"/>
      <c r="T11" s="56"/>
    </row>
    <row r="12" spans="1:20" ht="12.75">
      <c r="A12" s="54"/>
      <c r="B12" s="59"/>
      <c r="C12" s="375"/>
      <c r="D12" s="642" t="s">
        <v>107</v>
      </c>
      <c r="E12" s="635"/>
      <c r="F12" s="635"/>
      <c r="G12" s="635"/>
      <c r="H12" s="635"/>
      <c r="I12" s="635"/>
      <c r="J12" s="635"/>
      <c r="K12" s="635"/>
      <c r="L12" s="635"/>
      <c r="M12" s="635"/>
      <c r="N12" s="635"/>
      <c r="O12" s="635"/>
      <c r="P12" s="635"/>
      <c r="Q12" s="643"/>
      <c r="R12" s="55"/>
      <c r="S12" s="55"/>
      <c r="T12" s="56"/>
    </row>
    <row r="13" spans="1:20" ht="12.75">
      <c r="A13" s="54"/>
      <c r="B13" s="59" t="s">
        <v>3</v>
      </c>
      <c r="C13" s="375"/>
      <c r="D13" s="642" t="s">
        <v>108</v>
      </c>
      <c r="E13" s="635"/>
      <c r="F13" s="635"/>
      <c r="G13" s="635"/>
      <c r="H13" s="635"/>
      <c r="I13" s="635"/>
      <c r="J13" s="635"/>
      <c r="K13" s="635"/>
      <c r="L13" s="635"/>
      <c r="M13" s="635"/>
      <c r="N13" s="635"/>
      <c r="O13" s="635"/>
      <c r="P13" s="635"/>
      <c r="Q13" s="643"/>
      <c r="R13" s="55"/>
      <c r="S13" s="55"/>
      <c r="T13" s="56"/>
    </row>
    <row r="14" spans="1:20" ht="12.75">
      <c r="A14" s="54"/>
      <c r="B14" s="99" t="s">
        <v>149</v>
      </c>
      <c r="C14" s="376"/>
      <c r="D14" s="642" t="s">
        <v>109</v>
      </c>
      <c r="E14" s="635"/>
      <c r="F14" s="635"/>
      <c r="G14" s="635"/>
      <c r="H14" s="635"/>
      <c r="I14" s="635"/>
      <c r="J14" s="635"/>
      <c r="K14" s="635"/>
      <c r="L14" s="635"/>
      <c r="M14" s="635"/>
      <c r="N14" s="635"/>
      <c r="O14" s="635"/>
      <c r="P14" s="635"/>
      <c r="Q14" s="643"/>
      <c r="R14" s="55"/>
      <c r="S14" s="55"/>
      <c r="T14" s="56"/>
    </row>
    <row r="15" spans="1:20" ht="12.75">
      <c r="A15" s="54"/>
      <c r="B15" s="59" t="s">
        <v>110</v>
      </c>
      <c r="C15" s="375"/>
      <c r="D15" s="642" t="s">
        <v>111</v>
      </c>
      <c r="E15" s="635"/>
      <c r="F15" s="635"/>
      <c r="G15" s="635"/>
      <c r="H15" s="635"/>
      <c r="I15" s="635"/>
      <c r="J15" s="635"/>
      <c r="K15" s="635"/>
      <c r="L15" s="635"/>
      <c r="M15" s="635"/>
      <c r="N15" s="635"/>
      <c r="O15" s="635"/>
      <c r="P15" s="635"/>
      <c r="Q15" s="643"/>
      <c r="R15" s="55"/>
      <c r="S15" s="55"/>
      <c r="T15" s="56"/>
    </row>
    <row r="16" spans="1:20" ht="12.75">
      <c r="A16" s="54"/>
      <c r="B16" s="59" t="s">
        <v>112</v>
      </c>
      <c r="C16" s="375"/>
      <c r="D16" s="642" t="s">
        <v>113</v>
      </c>
      <c r="E16" s="635"/>
      <c r="F16" s="635"/>
      <c r="G16" s="635"/>
      <c r="H16" s="635"/>
      <c r="I16" s="635"/>
      <c r="J16" s="635"/>
      <c r="K16" s="635"/>
      <c r="L16" s="635"/>
      <c r="M16" s="635"/>
      <c r="N16" s="635"/>
      <c r="O16" s="635"/>
      <c r="P16" s="635"/>
      <c r="Q16" s="643"/>
      <c r="R16" s="55"/>
      <c r="S16" s="55"/>
      <c r="T16" s="56"/>
    </row>
    <row r="17" spans="1:20" ht="12.75">
      <c r="A17" s="54"/>
      <c r="B17" s="59" t="s">
        <v>114</v>
      </c>
      <c r="C17" s="375"/>
      <c r="D17" s="642" t="s">
        <v>115</v>
      </c>
      <c r="E17" s="635"/>
      <c r="F17" s="635"/>
      <c r="G17" s="635"/>
      <c r="H17" s="635"/>
      <c r="I17" s="635"/>
      <c r="J17" s="635"/>
      <c r="K17" s="635"/>
      <c r="L17" s="635"/>
      <c r="M17" s="635"/>
      <c r="N17" s="635"/>
      <c r="O17" s="635"/>
      <c r="P17" s="635"/>
      <c r="Q17" s="643"/>
      <c r="R17" s="55"/>
      <c r="S17" s="55"/>
      <c r="T17" s="56"/>
    </row>
    <row r="18" spans="1:20" ht="13.5" thickBot="1">
      <c r="A18" s="54"/>
      <c r="B18" s="60" t="s">
        <v>208</v>
      </c>
      <c r="C18" s="377"/>
      <c r="D18" s="639" t="s">
        <v>116</v>
      </c>
      <c r="E18" s="640"/>
      <c r="F18" s="640"/>
      <c r="G18" s="640"/>
      <c r="H18" s="640"/>
      <c r="I18" s="640"/>
      <c r="J18" s="640"/>
      <c r="K18" s="640"/>
      <c r="L18" s="640"/>
      <c r="M18" s="640"/>
      <c r="N18" s="640"/>
      <c r="O18" s="640"/>
      <c r="P18" s="640"/>
      <c r="Q18" s="641"/>
      <c r="R18" s="55"/>
      <c r="S18" s="55"/>
      <c r="T18" s="56"/>
    </row>
    <row r="19" spans="1:20" ht="12.75">
      <c r="A19" s="54"/>
      <c r="B19" s="61"/>
      <c r="C19" s="61"/>
      <c r="D19" s="57"/>
      <c r="E19" s="57"/>
      <c r="F19" s="57"/>
      <c r="G19" s="57"/>
      <c r="H19" s="57"/>
      <c r="I19" s="57"/>
      <c r="J19" s="57"/>
      <c r="K19" s="55"/>
      <c r="L19" s="55"/>
      <c r="M19" s="55"/>
      <c r="N19" s="55"/>
      <c r="O19" s="55"/>
      <c r="P19" s="55"/>
      <c r="Q19" s="55"/>
      <c r="R19" s="55"/>
      <c r="S19" s="55"/>
      <c r="T19" s="56"/>
    </row>
    <row r="20" spans="1:20" ht="13.5" thickBot="1">
      <c r="A20" s="54"/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6"/>
    </row>
    <row r="21" spans="1:20" ht="12.75" customHeight="1" thickBot="1">
      <c r="A21" s="54"/>
      <c r="B21" s="650" t="s">
        <v>117</v>
      </c>
      <c r="C21" s="651"/>
      <c r="D21" s="651"/>
      <c r="E21" s="651"/>
      <c r="F21" s="651"/>
      <c r="G21" s="651"/>
      <c r="H21" s="651"/>
      <c r="I21" s="651"/>
      <c r="J21" s="651"/>
      <c r="K21" s="651"/>
      <c r="L21" s="651"/>
      <c r="M21" s="651"/>
      <c r="N21" s="651"/>
      <c r="O21" s="651"/>
      <c r="P21" s="651"/>
      <c r="Q21" s="651"/>
      <c r="R21" s="652"/>
      <c r="S21" s="411"/>
      <c r="T21" s="56"/>
    </row>
    <row r="22" spans="1:20" ht="13.5" thickBot="1">
      <c r="A22" s="54"/>
      <c r="B22" s="335" t="s">
        <v>118</v>
      </c>
      <c r="C22" s="336" t="s">
        <v>205</v>
      </c>
      <c r="D22" s="337" t="s">
        <v>88</v>
      </c>
      <c r="E22" s="338" t="s">
        <v>86</v>
      </c>
      <c r="F22" s="338" t="s">
        <v>89</v>
      </c>
      <c r="G22" s="338" t="s">
        <v>91</v>
      </c>
      <c r="H22" s="338" t="s">
        <v>87</v>
      </c>
      <c r="I22" s="339" t="s">
        <v>90</v>
      </c>
      <c r="J22" s="340"/>
      <c r="K22" s="335" t="s">
        <v>71</v>
      </c>
      <c r="L22" s="341" t="s">
        <v>205</v>
      </c>
      <c r="M22" s="342" t="s">
        <v>88</v>
      </c>
      <c r="N22" s="343" t="s">
        <v>86</v>
      </c>
      <c r="O22" s="343" t="s">
        <v>89</v>
      </c>
      <c r="P22" s="343" t="s">
        <v>91</v>
      </c>
      <c r="Q22" s="343" t="s">
        <v>87</v>
      </c>
      <c r="R22" s="344" t="s">
        <v>90</v>
      </c>
      <c r="S22" s="412"/>
      <c r="T22" s="56"/>
    </row>
    <row r="23" spans="1:20" ht="12.75">
      <c r="A23" s="54"/>
      <c r="B23" s="345">
        <v>10</v>
      </c>
      <c r="C23" s="346">
        <v>0</v>
      </c>
      <c r="D23" s="347">
        <v>1</v>
      </c>
      <c r="E23" s="348">
        <v>2</v>
      </c>
      <c r="F23" s="348">
        <v>3</v>
      </c>
      <c r="G23" s="348">
        <v>4</v>
      </c>
      <c r="H23" s="348">
        <v>5</v>
      </c>
      <c r="I23" s="349">
        <v>6</v>
      </c>
      <c r="J23" s="340"/>
      <c r="K23" s="350">
        <v>10</v>
      </c>
      <c r="L23" s="351">
        <v>0</v>
      </c>
      <c r="M23" s="352">
        <v>2</v>
      </c>
      <c r="N23" s="353">
        <v>3</v>
      </c>
      <c r="O23" s="353">
        <v>4</v>
      </c>
      <c r="P23" s="353">
        <v>5</v>
      </c>
      <c r="Q23" s="353">
        <v>6</v>
      </c>
      <c r="R23" s="354">
        <v>7</v>
      </c>
      <c r="S23" s="334"/>
      <c r="T23" s="56"/>
    </row>
    <row r="24" spans="1:20" ht="12.75">
      <c r="A24" s="54"/>
      <c r="B24" s="355">
        <v>11</v>
      </c>
      <c r="C24" s="356">
        <v>0</v>
      </c>
      <c r="D24" s="357">
        <v>1</v>
      </c>
      <c r="E24" s="358">
        <v>2</v>
      </c>
      <c r="F24" s="358">
        <v>3</v>
      </c>
      <c r="G24" s="358">
        <v>4</v>
      </c>
      <c r="H24" s="358">
        <v>5</v>
      </c>
      <c r="I24" s="359">
        <v>6</v>
      </c>
      <c r="J24" s="340"/>
      <c r="K24" s="355">
        <v>11</v>
      </c>
      <c r="L24" s="356">
        <v>0</v>
      </c>
      <c r="M24" s="357">
        <v>2</v>
      </c>
      <c r="N24" s="358">
        <v>3</v>
      </c>
      <c r="O24" s="358">
        <v>4</v>
      </c>
      <c r="P24" s="358">
        <v>5</v>
      </c>
      <c r="Q24" s="358">
        <v>6</v>
      </c>
      <c r="R24" s="359">
        <v>7</v>
      </c>
      <c r="S24" s="334"/>
      <c r="T24" s="56"/>
    </row>
    <row r="25" spans="1:20" ht="12.75">
      <c r="A25" s="54"/>
      <c r="B25" s="355">
        <v>12</v>
      </c>
      <c r="C25" s="356">
        <v>0</v>
      </c>
      <c r="D25" s="357">
        <v>1</v>
      </c>
      <c r="E25" s="358">
        <v>2</v>
      </c>
      <c r="F25" s="358">
        <v>3</v>
      </c>
      <c r="G25" s="358">
        <v>4</v>
      </c>
      <c r="H25" s="358">
        <v>5</v>
      </c>
      <c r="I25" s="359">
        <v>6</v>
      </c>
      <c r="J25" s="334"/>
      <c r="K25" s="355">
        <v>12</v>
      </c>
      <c r="L25" s="356">
        <v>0</v>
      </c>
      <c r="M25" s="357">
        <v>2</v>
      </c>
      <c r="N25" s="358">
        <v>3</v>
      </c>
      <c r="O25" s="358">
        <v>4</v>
      </c>
      <c r="P25" s="358">
        <v>5</v>
      </c>
      <c r="Q25" s="358">
        <v>6</v>
      </c>
      <c r="R25" s="359">
        <v>7</v>
      </c>
      <c r="S25" s="334"/>
      <c r="T25" s="56"/>
    </row>
    <row r="26" spans="1:20" ht="12.75">
      <c r="A26" s="54"/>
      <c r="B26" s="355">
        <v>13</v>
      </c>
      <c r="C26" s="356">
        <v>0</v>
      </c>
      <c r="D26" s="357">
        <v>1</v>
      </c>
      <c r="E26" s="358">
        <v>2</v>
      </c>
      <c r="F26" s="358">
        <v>3</v>
      </c>
      <c r="G26" s="358">
        <v>4</v>
      </c>
      <c r="H26" s="358">
        <v>5</v>
      </c>
      <c r="I26" s="359">
        <v>6</v>
      </c>
      <c r="J26" s="340"/>
      <c r="K26" s="355">
        <v>13</v>
      </c>
      <c r="L26" s="356">
        <v>0</v>
      </c>
      <c r="M26" s="357">
        <v>2</v>
      </c>
      <c r="N26" s="358">
        <v>3</v>
      </c>
      <c r="O26" s="358">
        <v>4</v>
      </c>
      <c r="P26" s="358">
        <v>5</v>
      </c>
      <c r="Q26" s="358">
        <v>6</v>
      </c>
      <c r="R26" s="359">
        <v>7</v>
      </c>
      <c r="S26" s="334"/>
      <c r="T26" s="56"/>
    </row>
    <row r="27" spans="1:20" ht="12.75">
      <c r="A27" s="54"/>
      <c r="B27" s="355">
        <v>14</v>
      </c>
      <c r="C27" s="356">
        <v>0</v>
      </c>
      <c r="D27" s="357">
        <v>1</v>
      </c>
      <c r="E27" s="358">
        <v>2</v>
      </c>
      <c r="F27" s="358">
        <v>3</v>
      </c>
      <c r="G27" s="358">
        <v>4</v>
      </c>
      <c r="H27" s="358">
        <v>5</v>
      </c>
      <c r="I27" s="359">
        <v>6</v>
      </c>
      <c r="J27" s="340"/>
      <c r="K27" s="355">
        <v>14</v>
      </c>
      <c r="L27" s="356">
        <v>0</v>
      </c>
      <c r="M27" s="357">
        <v>2</v>
      </c>
      <c r="N27" s="358">
        <v>3</v>
      </c>
      <c r="O27" s="358">
        <v>4</v>
      </c>
      <c r="P27" s="358">
        <v>5</v>
      </c>
      <c r="Q27" s="358">
        <v>6</v>
      </c>
      <c r="R27" s="359">
        <v>7</v>
      </c>
      <c r="S27" s="334"/>
      <c r="T27" s="56"/>
    </row>
    <row r="28" spans="1:20" ht="12.75">
      <c r="A28" s="54"/>
      <c r="B28" s="355">
        <v>15</v>
      </c>
      <c r="C28" s="356">
        <v>0</v>
      </c>
      <c r="D28" s="357">
        <v>2</v>
      </c>
      <c r="E28" s="358">
        <v>3</v>
      </c>
      <c r="F28" s="358">
        <v>4</v>
      </c>
      <c r="G28" s="358">
        <v>5</v>
      </c>
      <c r="H28" s="358">
        <v>6</v>
      </c>
      <c r="I28" s="359">
        <v>7</v>
      </c>
      <c r="J28" s="340"/>
      <c r="K28" s="355">
        <v>15</v>
      </c>
      <c r="L28" s="356">
        <v>0</v>
      </c>
      <c r="M28" s="357">
        <v>3</v>
      </c>
      <c r="N28" s="358">
        <v>4</v>
      </c>
      <c r="O28" s="358">
        <v>5</v>
      </c>
      <c r="P28" s="358">
        <v>6</v>
      </c>
      <c r="Q28" s="358">
        <v>7</v>
      </c>
      <c r="R28" s="359">
        <v>8</v>
      </c>
      <c r="S28" s="334"/>
      <c r="T28" s="56"/>
    </row>
    <row r="29" spans="1:20" ht="12.75">
      <c r="A29" s="54"/>
      <c r="B29" s="355">
        <v>16</v>
      </c>
      <c r="C29" s="356">
        <v>0</v>
      </c>
      <c r="D29" s="357">
        <v>2</v>
      </c>
      <c r="E29" s="358">
        <v>3</v>
      </c>
      <c r="F29" s="358">
        <v>4</v>
      </c>
      <c r="G29" s="358">
        <v>5</v>
      </c>
      <c r="H29" s="358">
        <v>6</v>
      </c>
      <c r="I29" s="359">
        <v>7</v>
      </c>
      <c r="J29" s="340"/>
      <c r="K29" s="355">
        <v>16</v>
      </c>
      <c r="L29" s="356">
        <v>0</v>
      </c>
      <c r="M29" s="357">
        <v>3</v>
      </c>
      <c r="N29" s="358">
        <v>4</v>
      </c>
      <c r="O29" s="358">
        <v>5</v>
      </c>
      <c r="P29" s="358">
        <v>6</v>
      </c>
      <c r="Q29" s="358">
        <v>7</v>
      </c>
      <c r="R29" s="359">
        <v>8</v>
      </c>
      <c r="S29" s="334"/>
      <c r="T29" s="56"/>
    </row>
    <row r="30" spans="1:20" ht="12.75">
      <c r="A30" s="54"/>
      <c r="B30" s="355">
        <v>17</v>
      </c>
      <c r="C30" s="356">
        <v>0</v>
      </c>
      <c r="D30" s="357">
        <v>3</v>
      </c>
      <c r="E30" s="358">
        <v>4</v>
      </c>
      <c r="F30" s="358">
        <v>5</v>
      </c>
      <c r="G30" s="358">
        <v>6</v>
      </c>
      <c r="H30" s="358">
        <v>7</v>
      </c>
      <c r="I30" s="359">
        <v>8</v>
      </c>
      <c r="J30" s="340"/>
      <c r="K30" s="355">
        <v>17</v>
      </c>
      <c r="L30" s="356">
        <v>0</v>
      </c>
      <c r="M30" s="357">
        <v>3</v>
      </c>
      <c r="N30" s="358">
        <v>4</v>
      </c>
      <c r="O30" s="358">
        <v>5</v>
      </c>
      <c r="P30" s="358">
        <v>6</v>
      </c>
      <c r="Q30" s="358">
        <v>7</v>
      </c>
      <c r="R30" s="359">
        <v>8</v>
      </c>
      <c r="S30" s="334"/>
      <c r="T30" s="56"/>
    </row>
    <row r="31" spans="1:20" ht="12.75">
      <c r="A31" s="54"/>
      <c r="B31" s="355">
        <v>18</v>
      </c>
      <c r="C31" s="356">
        <v>0</v>
      </c>
      <c r="D31" s="357">
        <v>3</v>
      </c>
      <c r="E31" s="358">
        <v>4</v>
      </c>
      <c r="F31" s="358">
        <v>5</v>
      </c>
      <c r="G31" s="358">
        <v>6</v>
      </c>
      <c r="H31" s="358">
        <v>7</v>
      </c>
      <c r="I31" s="359">
        <v>8</v>
      </c>
      <c r="J31" s="340"/>
      <c r="K31" s="355">
        <v>18</v>
      </c>
      <c r="L31" s="356">
        <v>0</v>
      </c>
      <c r="M31" s="357">
        <v>3</v>
      </c>
      <c r="N31" s="358">
        <v>4</v>
      </c>
      <c r="O31" s="358">
        <v>5</v>
      </c>
      <c r="P31" s="358">
        <v>6</v>
      </c>
      <c r="Q31" s="358">
        <v>7</v>
      </c>
      <c r="R31" s="359">
        <v>8</v>
      </c>
      <c r="S31" s="334"/>
      <c r="T31" s="56"/>
    </row>
    <row r="32" spans="1:20" ht="12.75">
      <c r="A32" s="54"/>
      <c r="B32" s="355">
        <v>19</v>
      </c>
      <c r="C32" s="356">
        <v>0</v>
      </c>
      <c r="D32" s="357">
        <v>3</v>
      </c>
      <c r="E32" s="358">
        <v>4</v>
      </c>
      <c r="F32" s="358">
        <v>5</v>
      </c>
      <c r="G32" s="358">
        <v>6</v>
      </c>
      <c r="H32" s="358">
        <v>7</v>
      </c>
      <c r="I32" s="359">
        <v>8</v>
      </c>
      <c r="J32" s="340"/>
      <c r="K32" s="355">
        <v>19</v>
      </c>
      <c r="L32" s="356">
        <v>0</v>
      </c>
      <c r="M32" s="357">
        <v>3</v>
      </c>
      <c r="N32" s="358">
        <v>4</v>
      </c>
      <c r="O32" s="358">
        <v>5</v>
      </c>
      <c r="P32" s="358">
        <v>6</v>
      </c>
      <c r="Q32" s="358">
        <v>7</v>
      </c>
      <c r="R32" s="359">
        <v>8</v>
      </c>
      <c r="S32" s="334"/>
      <c r="T32" s="56"/>
    </row>
    <row r="33" spans="1:20" ht="12.75">
      <c r="A33" s="54"/>
      <c r="B33" s="355">
        <v>20</v>
      </c>
      <c r="C33" s="356">
        <v>0</v>
      </c>
      <c r="D33" s="357">
        <v>4</v>
      </c>
      <c r="E33" s="358">
        <v>5</v>
      </c>
      <c r="F33" s="358">
        <v>6</v>
      </c>
      <c r="G33" s="358">
        <v>7</v>
      </c>
      <c r="H33" s="358">
        <v>8</v>
      </c>
      <c r="I33" s="360">
        <v>9</v>
      </c>
      <c r="J33" s="340"/>
      <c r="K33" s="355">
        <v>20</v>
      </c>
      <c r="L33" s="356">
        <v>0</v>
      </c>
      <c r="M33" s="357">
        <v>4</v>
      </c>
      <c r="N33" s="358">
        <v>5</v>
      </c>
      <c r="O33" s="358">
        <v>6</v>
      </c>
      <c r="P33" s="358">
        <v>7</v>
      </c>
      <c r="Q33" s="358">
        <v>8</v>
      </c>
      <c r="R33" s="359">
        <v>9</v>
      </c>
      <c r="S33" s="334"/>
      <c r="T33" s="56"/>
    </row>
    <row r="34" spans="1:20" ht="12.75">
      <c r="A34" s="54"/>
      <c r="B34" s="355">
        <v>21</v>
      </c>
      <c r="C34" s="356">
        <v>0</v>
      </c>
      <c r="D34" s="357">
        <v>4</v>
      </c>
      <c r="E34" s="358">
        <v>5</v>
      </c>
      <c r="F34" s="358">
        <v>6</v>
      </c>
      <c r="G34" s="358">
        <v>7</v>
      </c>
      <c r="H34" s="358">
        <v>8</v>
      </c>
      <c r="I34" s="359">
        <v>9</v>
      </c>
      <c r="J34" s="340"/>
      <c r="K34" s="355">
        <v>21</v>
      </c>
      <c r="L34" s="356">
        <v>0</v>
      </c>
      <c r="M34" s="357">
        <v>4</v>
      </c>
      <c r="N34" s="358">
        <v>5</v>
      </c>
      <c r="O34" s="358">
        <v>6</v>
      </c>
      <c r="P34" s="358">
        <v>7</v>
      </c>
      <c r="Q34" s="358">
        <v>8</v>
      </c>
      <c r="R34" s="359">
        <v>9</v>
      </c>
      <c r="S34" s="334"/>
      <c r="T34" s="56"/>
    </row>
    <row r="35" spans="1:20" ht="12.75">
      <c r="A35" s="54"/>
      <c r="B35" s="355">
        <v>22</v>
      </c>
      <c r="C35" s="356">
        <v>0</v>
      </c>
      <c r="D35" s="357">
        <v>4</v>
      </c>
      <c r="E35" s="358">
        <v>5</v>
      </c>
      <c r="F35" s="361" t="s">
        <v>119</v>
      </c>
      <c r="G35" s="358">
        <v>7</v>
      </c>
      <c r="H35" s="358">
        <v>8</v>
      </c>
      <c r="I35" s="359">
        <v>9</v>
      </c>
      <c r="J35" s="340"/>
      <c r="K35" s="355">
        <v>22</v>
      </c>
      <c r="L35" s="356">
        <v>0</v>
      </c>
      <c r="M35" s="357">
        <v>4</v>
      </c>
      <c r="N35" s="358">
        <v>5</v>
      </c>
      <c r="O35" s="358">
        <v>6</v>
      </c>
      <c r="P35" s="358">
        <v>7</v>
      </c>
      <c r="Q35" s="358">
        <v>8</v>
      </c>
      <c r="R35" s="359">
        <v>9</v>
      </c>
      <c r="S35" s="334"/>
      <c r="T35" s="56"/>
    </row>
    <row r="36" spans="1:20" ht="12.75">
      <c r="A36" s="54"/>
      <c r="B36" s="355">
        <v>23</v>
      </c>
      <c r="C36" s="356">
        <v>0</v>
      </c>
      <c r="D36" s="357">
        <v>5</v>
      </c>
      <c r="E36" s="358">
        <v>6</v>
      </c>
      <c r="F36" s="358">
        <v>7</v>
      </c>
      <c r="G36" s="358">
        <v>8</v>
      </c>
      <c r="H36" s="358">
        <v>9</v>
      </c>
      <c r="I36" s="359">
        <v>10</v>
      </c>
      <c r="J36" s="340"/>
      <c r="K36" s="355">
        <v>23</v>
      </c>
      <c r="L36" s="356">
        <v>0</v>
      </c>
      <c r="M36" s="357">
        <v>4</v>
      </c>
      <c r="N36" s="358">
        <v>5</v>
      </c>
      <c r="O36" s="358">
        <v>6</v>
      </c>
      <c r="P36" s="358">
        <v>7</v>
      </c>
      <c r="Q36" s="358">
        <v>8</v>
      </c>
      <c r="R36" s="359">
        <v>9</v>
      </c>
      <c r="S36" s="334"/>
      <c r="T36" s="56"/>
    </row>
    <row r="37" spans="1:20" ht="12.75">
      <c r="A37" s="54"/>
      <c r="B37" s="355">
        <v>24</v>
      </c>
      <c r="C37" s="356">
        <v>0</v>
      </c>
      <c r="D37" s="357">
        <v>5</v>
      </c>
      <c r="E37" s="358">
        <v>6</v>
      </c>
      <c r="F37" s="358">
        <v>7</v>
      </c>
      <c r="G37" s="358">
        <v>8</v>
      </c>
      <c r="H37" s="358">
        <v>9</v>
      </c>
      <c r="I37" s="359">
        <v>10</v>
      </c>
      <c r="J37" s="340"/>
      <c r="K37" s="355">
        <v>24</v>
      </c>
      <c r="L37" s="356">
        <v>0</v>
      </c>
      <c r="M37" s="357">
        <v>4</v>
      </c>
      <c r="N37" s="358">
        <v>5</v>
      </c>
      <c r="O37" s="358">
        <v>6</v>
      </c>
      <c r="P37" s="358">
        <v>7</v>
      </c>
      <c r="Q37" s="358">
        <v>8</v>
      </c>
      <c r="R37" s="359">
        <v>9</v>
      </c>
      <c r="S37" s="334"/>
      <c r="T37" s="56"/>
    </row>
    <row r="38" spans="1:20" ht="13.5" thickBot="1">
      <c r="A38" s="54"/>
      <c r="B38" s="355">
        <v>25</v>
      </c>
      <c r="C38" s="356">
        <v>0</v>
      </c>
      <c r="D38" s="357">
        <v>6</v>
      </c>
      <c r="E38" s="358">
        <v>7</v>
      </c>
      <c r="F38" s="358">
        <v>8</v>
      </c>
      <c r="G38" s="358">
        <v>9</v>
      </c>
      <c r="H38" s="358">
        <v>10</v>
      </c>
      <c r="I38" s="359">
        <v>11</v>
      </c>
      <c r="J38" s="340"/>
      <c r="K38" s="362">
        <v>25</v>
      </c>
      <c r="L38" s="363">
        <v>0</v>
      </c>
      <c r="M38" s="364">
        <v>4</v>
      </c>
      <c r="N38" s="365">
        <v>5</v>
      </c>
      <c r="O38" s="365">
        <v>6</v>
      </c>
      <c r="P38" s="365">
        <v>7</v>
      </c>
      <c r="Q38" s="365">
        <v>8</v>
      </c>
      <c r="R38" s="366">
        <v>9</v>
      </c>
      <c r="S38" s="334"/>
      <c r="T38" s="56"/>
    </row>
    <row r="39" spans="1:20" ht="12.75">
      <c r="A39" s="54"/>
      <c r="B39" s="355">
        <v>26</v>
      </c>
      <c r="C39" s="356">
        <v>0</v>
      </c>
      <c r="D39" s="357">
        <v>6</v>
      </c>
      <c r="E39" s="358">
        <v>7</v>
      </c>
      <c r="F39" s="358">
        <v>8</v>
      </c>
      <c r="G39" s="358">
        <v>9</v>
      </c>
      <c r="H39" s="358">
        <v>10</v>
      </c>
      <c r="I39" s="359">
        <v>11</v>
      </c>
      <c r="J39" s="340"/>
      <c r="K39" s="340"/>
      <c r="L39" s="340"/>
      <c r="M39" s="340"/>
      <c r="N39" s="340"/>
      <c r="O39" s="340"/>
      <c r="P39" s="340"/>
      <c r="Q39" s="340"/>
      <c r="R39" s="340"/>
      <c r="S39" s="340"/>
      <c r="T39" s="56"/>
    </row>
    <row r="40" spans="1:20" ht="13.5" thickBot="1">
      <c r="A40" s="54"/>
      <c r="B40" s="362">
        <v>27</v>
      </c>
      <c r="C40" s="363">
        <v>0</v>
      </c>
      <c r="D40" s="364">
        <v>6</v>
      </c>
      <c r="E40" s="365">
        <v>7</v>
      </c>
      <c r="F40" s="365">
        <v>8</v>
      </c>
      <c r="G40" s="365">
        <v>9</v>
      </c>
      <c r="H40" s="365">
        <v>10</v>
      </c>
      <c r="I40" s="366">
        <v>11</v>
      </c>
      <c r="J40" s="340"/>
      <c r="K40" s="367" t="s">
        <v>205</v>
      </c>
      <c r="L40" s="660" t="s">
        <v>206</v>
      </c>
      <c r="M40" s="660"/>
      <c r="N40" s="660"/>
      <c r="O40" s="660"/>
      <c r="P40" s="340"/>
      <c r="Q40" s="340"/>
      <c r="R40" s="340"/>
      <c r="S40" s="340"/>
      <c r="T40" s="56"/>
    </row>
    <row r="41" spans="1:20" ht="13.5" thickBot="1">
      <c r="A41" s="54"/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6"/>
    </row>
    <row r="42" spans="1:20" ht="13.5" thickBot="1">
      <c r="A42" s="54"/>
      <c r="B42" s="619" t="s">
        <v>207</v>
      </c>
      <c r="C42" s="680"/>
      <c r="D42" s="620"/>
      <c r="E42" s="620"/>
      <c r="F42" s="620"/>
      <c r="G42" s="681"/>
      <c r="H42" s="619" t="s">
        <v>208</v>
      </c>
      <c r="I42" s="620"/>
      <c r="J42" s="621"/>
      <c r="K42" s="622" t="s">
        <v>15</v>
      </c>
      <c r="L42" s="623"/>
      <c r="M42" s="624"/>
      <c r="N42" s="624" t="s">
        <v>16</v>
      </c>
      <c r="O42" s="625"/>
      <c r="P42" s="55"/>
      <c r="Q42" s="683" t="s">
        <v>238</v>
      </c>
      <c r="R42" s="684"/>
      <c r="S42" s="685"/>
      <c r="T42" s="56"/>
    </row>
    <row r="43" spans="1:20" ht="12.75">
      <c r="A43" s="54"/>
      <c r="B43" s="661" t="s">
        <v>209</v>
      </c>
      <c r="C43" s="662"/>
      <c r="D43" s="368">
        <v>4</v>
      </c>
      <c r="E43" s="657" t="s">
        <v>210</v>
      </c>
      <c r="F43" s="658"/>
      <c r="G43" s="659"/>
      <c r="H43" s="656">
        <v>15</v>
      </c>
      <c r="I43" s="649"/>
      <c r="J43" s="369" t="s">
        <v>211</v>
      </c>
      <c r="K43" s="616">
        <v>1</v>
      </c>
      <c r="L43" s="617"/>
      <c r="M43" s="618"/>
      <c r="N43" s="618">
        <v>6</v>
      </c>
      <c r="O43" s="630"/>
      <c r="P43" s="670" t="s">
        <v>235</v>
      </c>
      <c r="Q43" s="656">
        <v>1300</v>
      </c>
      <c r="R43" s="649"/>
      <c r="S43" s="686"/>
      <c r="T43" s="56"/>
    </row>
    <row r="44" spans="1:20" ht="12.75">
      <c r="A44" s="54"/>
      <c r="B44" s="663" t="s">
        <v>212</v>
      </c>
      <c r="C44" s="664"/>
      <c r="D44" s="370">
        <v>3</v>
      </c>
      <c r="E44" s="631" t="s">
        <v>213</v>
      </c>
      <c r="F44" s="632"/>
      <c r="G44" s="633"/>
      <c r="H44" s="634">
        <v>18</v>
      </c>
      <c r="I44" s="635"/>
      <c r="J44" s="371" t="s">
        <v>214</v>
      </c>
      <c r="K44" s="626">
        <v>-2</v>
      </c>
      <c r="L44" s="627"/>
      <c r="M44" s="612"/>
      <c r="N44" s="612">
        <v>3</v>
      </c>
      <c r="O44" s="613"/>
      <c r="P44" s="671"/>
      <c r="Q44" s="634">
        <v>150</v>
      </c>
      <c r="R44" s="635"/>
      <c r="S44" s="643"/>
      <c r="T44" s="56"/>
    </row>
    <row r="45" spans="1:20" ht="12.75">
      <c r="A45" s="54"/>
      <c r="B45" s="663" t="s">
        <v>215</v>
      </c>
      <c r="C45" s="664"/>
      <c r="D45" s="370">
        <v>2</v>
      </c>
      <c r="E45" s="631" t="s">
        <v>216</v>
      </c>
      <c r="F45" s="632"/>
      <c r="G45" s="633"/>
      <c r="H45" s="634"/>
      <c r="I45" s="635"/>
      <c r="J45" s="371" t="s">
        <v>217</v>
      </c>
      <c r="K45" s="626"/>
      <c r="L45" s="627"/>
      <c r="M45" s="612"/>
      <c r="N45" s="612"/>
      <c r="O45" s="613"/>
      <c r="P45" s="671"/>
      <c r="Q45" s="634"/>
      <c r="R45" s="635"/>
      <c r="S45" s="643"/>
      <c r="T45" s="56"/>
    </row>
    <row r="46" spans="1:20" ht="12.75">
      <c r="A46" s="54"/>
      <c r="B46" s="663" t="s">
        <v>218</v>
      </c>
      <c r="C46" s="664"/>
      <c r="D46" s="370">
        <v>2</v>
      </c>
      <c r="E46" s="631" t="s">
        <v>219</v>
      </c>
      <c r="F46" s="632"/>
      <c r="G46" s="633"/>
      <c r="H46" s="634"/>
      <c r="I46" s="635"/>
      <c r="J46" s="371" t="s">
        <v>219</v>
      </c>
      <c r="K46" s="626"/>
      <c r="L46" s="627"/>
      <c r="M46" s="612"/>
      <c r="N46" s="612"/>
      <c r="O46" s="613"/>
      <c r="P46" s="671"/>
      <c r="Q46" s="634"/>
      <c r="R46" s="635"/>
      <c r="S46" s="643"/>
      <c r="T46" s="56"/>
    </row>
    <row r="47" spans="1:20" ht="12.75">
      <c r="A47" s="54"/>
      <c r="B47" s="663" t="s">
        <v>220</v>
      </c>
      <c r="C47" s="664"/>
      <c r="D47" s="370">
        <v>2</v>
      </c>
      <c r="E47" s="631" t="s">
        <v>221</v>
      </c>
      <c r="F47" s="632"/>
      <c r="G47" s="633"/>
      <c r="H47" s="634"/>
      <c r="I47" s="635"/>
      <c r="J47" s="371" t="s">
        <v>222</v>
      </c>
      <c r="K47" s="626"/>
      <c r="L47" s="627"/>
      <c r="M47" s="612"/>
      <c r="N47" s="612"/>
      <c r="O47" s="613"/>
      <c r="P47" s="671"/>
      <c r="Q47" s="634"/>
      <c r="R47" s="635"/>
      <c r="S47" s="643"/>
      <c r="T47" s="56"/>
    </row>
    <row r="48" spans="1:20" ht="12.75" customHeight="1" thickBot="1">
      <c r="A48" s="54"/>
      <c r="B48" s="646" t="s">
        <v>223</v>
      </c>
      <c r="C48" s="647"/>
      <c r="D48" s="372">
        <v>2</v>
      </c>
      <c r="E48" s="653" t="s">
        <v>224</v>
      </c>
      <c r="F48" s="654"/>
      <c r="G48" s="655"/>
      <c r="H48" s="644"/>
      <c r="I48" s="645"/>
      <c r="J48" s="373" t="s">
        <v>225</v>
      </c>
      <c r="K48" s="628"/>
      <c r="L48" s="629"/>
      <c r="M48" s="614"/>
      <c r="N48" s="614"/>
      <c r="O48" s="615"/>
      <c r="P48" s="671"/>
      <c r="Q48" s="634"/>
      <c r="R48" s="635"/>
      <c r="S48" s="643"/>
      <c r="T48" s="56"/>
    </row>
    <row r="49" spans="1:20" ht="12.75">
      <c r="A49" s="54"/>
      <c r="B49" s="648" t="s">
        <v>226</v>
      </c>
      <c r="C49" s="649"/>
      <c r="D49" s="649"/>
      <c r="E49" s="649"/>
      <c r="F49" s="649"/>
      <c r="G49" s="649"/>
      <c r="H49" s="55"/>
      <c r="I49" s="55"/>
      <c r="J49" s="55"/>
      <c r="K49" s="665"/>
      <c r="L49" s="666"/>
      <c r="M49" s="666"/>
      <c r="N49" s="666"/>
      <c r="O49" s="673"/>
      <c r="P49" s="687" t="s">
        <v>236</v>
      </c>
      <c r="Q49" s="634"/>
      <c r="R49" s="635"/>
      <c r="S49" s="643"/>
      <c r="T49" s="56"/>
    </row>
    <row r="50" spans="1:20" ht="12.75">
      <c r="A50" s="54"/>
      <c r="B50" s="682" t="s">
        <v>239</v>
      </c>
      <c r="C50" s="682"/>
      <c r="D50" s="682"/>
      <c r="E50" s="682"/>
      <c r="F50" s="682"/>
      <c r="G50" s="682"/>
      <c r="H50" s="55"/>
      <c r="I50" s="55"/>
      <c r="J50" s="55"/>
      <c r="K50" s="634"/>
      <c r="L50" s="635"/>
      <c r="M50" s="635"/>
      <c r="N50" s="635"/>
      <c r="O50" s="643"/>
      <c r="P50" s="688"/>
      <c r="Q50" s="634"/>
      <c r="R50" s="635"/>
      <c r="S50" s="643"/>
      <c r="T50" s="56"/>
    </row>
    <row r="51" spans="1:20" ht="12.75">
      <c r="A51" s="54"/>
      <c r="B51" s="403"/>
      <c r="C51" s="57"/>
      <c r="D51" s="57"/>
      <c r="E51" s="57"/>
      <c r="F51" s="57"/>
      <c r="G51" s="57"/>
      <c r="H51" s="55"/>
      <c r="I51" s="55"/>
      <c r="J51" s="55"/>
      <c r="K51" s="634"/>
      <c r="L51" s="635"/>
      <c r="M51" s="635"/>
      <c r="N51" s="635"/>
      <c r="O51" s="643"/>
      <c r="P51" s="688"/>
      <c r="Q51" s="634"/>
      <c r="R51" s="635"/>
      <c r="S51" s="643"/>
      <c r="T51" s="56"/>
    </row>
    <row r="52" spans="1:20" ht="13.5" thickBot="1">
      <c r="A52" s="54"/>
      <c r="B52" s="403"/>
      <c r="C52" s="57"/>
      <c r="D52" s="57"/>
      <c r="E52" s="57"/>
      <c r="F52" s="57"/>
      <c r="G52" s="57"/>
      <c r="H52" s="55"/>
      <c r="I52" s="55"/>
      <c r="J52" s="55"/>
      <c r="K52" s="644"/>
      <c r="L52" s="645"/>
      <c r="M52" s="645"/>
      <c r="N52" s="645"/>
      <c r="O52" s="679"/>
      <c r="P52" s="688"/>
      <c r="Q52" s="634"/>
      <c r="R52" s="635"/>
      <c r="S52" s="643"/>
      <c r="T52" s="56"/>
    </row>
    <row r="53" spans="1:20" ht="13.5" thickBot="1">
      <c r="A53" s="54"/>
      <c r="B53" s="403"/>
      <c r="C53" s="57"/>
      <c r="D53" s="57"/>
      <c r="E53" s="57"/>
      <c r="F53" s="57"/>
      <c r="G53" s="57"/>
      <c r="H53" s="55"/>
      <c r="I53" s="55"/>
      <c r="J53" s="55"/>
      <c r="K53" s="677" t="s">
        <v>240</v>
      </c>
      <c r="L53" s="678"/>
      <c r="M53" s="678"/>
      <c r="N53" s="678"/>
      <c r="O53" s="678"/>
      <c r="P53" s="678"/>
      <c r="Q53" s="674">
        <f>(ROUNDDOWN((SUM(Q43:S52)/1000),0))*10</f>
        <v>10</v>
      </c>
      <c r="R53" s="675"/>
      <c r="S53" s="676"/>
      <c r="T53" s="56"/>
    </row>
    <row r="54" spans="1:20" ht="12.75">
      <c r="A54" s="636" t="s">
        <v>150</v>
      </c>
      <c r="B54" s="637"/>
      <c r="C54" s="637"/>
      <c r="D54" s="637"/>
      <c r="E54" s="637"/>
      <c r="F54" s="637"/>
      <c r="G54" s="637"/>
      <c r="H54" s="637"/>
      <c r="I54" s="637"/>
      <c r="J54" s="637"/>
      <c r="K54" s="637"/>
      <c r="L54" s="637"/>
      <c r="M54" s="637"/>
      <c r="N54" s="637"/>
      <c r="O54" s="637"/>
      <c r="P54" s="637"/>
      <c r="Q54" s="637"/>
      <c r="R54" s="637"/>
      <c r="S54" s="637"/>
      <c r="T54" s="638"/>
    </row>
    <row r="55" spans="1:20" ht="12.75">
      <c r="A55" s="54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6"/>
    </row>
    <row r="56" spans="1:20" ht="12.75">
      <c r="A56" s="62"/>
      <c r="B56" s="63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4"/>
    </row>
    <row r="57" spans="2:13" ht="12.75"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</row>
    <row r="58" spans="2:13" ht="12.75"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</row>
    <row r="59" spans="2:13" ht="12.75"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</row>
    <row r="60" spans="2:13" ht="12.75"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</row>
    <row r="61" spans="2:13" ht="12.75"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</row>
    <row r="62" ht="12.75">
      <c r="M62" s="10"/>
    </row>
  </sheetData>
  <sheetProtection/>
  <protectedRanges>
    <protectedRange password="8E0B" sqref="A54" name="Bereich1"/>
  </protectedRanges>
  <mergeCells count="79">
    <mergeCell ref="Q42:S42"/>
    <mergeCell ref="Q43:S43"/>
    <mergeCell ref="N49:O49"/>
    <mergeCell ref="N50:O50"/>
    <mergeCell ref="P49:P52"/>
    <mergeCell ref="Q51:S51"/>
    <mergeCell ref="Q52:S52"/>
    <mergeCell ref="Q48:S48"/>
    <mergeCell ref="Q49:S49"/>
    <mergeCell ref="Q50:S50"/>
    <mergeCell ref="Q53:S53"/>
    <mergeCell ref="K53:P53"/>
    <mergeCell ref="N51:O51"/>
    <mergeCell ref="N52:O52"/>
    <mergeCell ref="B42:G42"/>
    <mergeCell ref="B50:G50"/>
    <mergeCell ref="Q44:S44"/>
    <mergeCell ref="Q45:S45"/>
    <mergeCell ref="Q46:S46"/>
    <mergeCell ref="Q47:S47"/>
    <mergeCell ref="P43:P48"/>
    <mergeCell ref="D4:Q4"/>
    <mergeCell ref="D3:Q3"/>
    <mergeCell ref="D5:Q5"/>
    <mergeCell ref="D11:Q11"/>
    <mergeCell ref="D10:Q10"/>
    <mergeCell ref="D13:Q13"/>
    <mergeCell ref="D8:Q8"/>
    <mergeCell ref="D7:Q7"/>
    <mergeCell ref="D12:Q12"/>
    <mergeCell ref="K49:M49"/>
    <mergeCell ref="K50:M50"/>
    <mergeCell ref="K51:M51"/>
    <mergeCell ref="K52:M52"/>
    <mergeCell ref="B2:Q2"/>
    <mergeCell ref="D16:Q16"/>
    <mergeCell ref="D15:Q15"/>
    <mergeCell ref="D14:Q14"/>
    <mergeCell ref="D6:Q6"/>
    <mergeCell ref="D9:Q9"/>
    <mergeCell ref="E43:G43"/>
    <mergeCell ref="H47:I47"/>
    <mergeCell ref="L40:O40"/>
    <mergeCell ref="B43:C43"/>
    <mergeCell ref="B44:C44"/>
    <mergeCell ref="B45:C45"/>
    <mergeCell ref="B46:C46"/>
    <mergeCell ref="B47:C47"/>
    <mergeCell ref="H44:I44"/>
    <mergeCell ref="H45:I45"/>
    <mergeCell ref="A54:T54"/>
    <mergeCell ref="D18:Q18"/>
    <mergeCell ref="D17:Q17"/>
    <mergeCell ref="H48:I48"/>
    <mergeCell ref="B48:C48"/>
    <mergeCell ref="B49:G49"/>
    <mergeCell ref="B21:R21"/>
    <mergeCell ref="E47:G47"/>
    <mergeCell ref="E48:G48"/>
    <mergeCell ref="H43:I43"/>
    <mergeCell ref="E44:G44"/>
    <mergeCell ref="E45:G45"/>
    <mergeCell ref="E46:G46"/>
    <mergeCell ref="K46:M46"/>
    <mergeCell ref="N44:O44"/>
    <mergeCell ref="N45:O45"/>
    <mergeCell ref="N46:O46"/>
    <mergeCell ref="H46:I46"/>
    <mergeCell ref="K45:M45"/>
    <mergeCell ref="N47:O47"/>
    <mergeCell ref="N48:O48"/>
    <mergeCell ref="K43:M43"/>
    <mergeCell ref="H42:J42"/>
    <mergeCell ref="K42:M42"/>
    <mergeCell ref="N42:O42"/>
    <mergeCell ref="K44:M44"/>
    <mergeCell ref="K47:M47"/>
    <mergeCell ref="K48:M48"/>
    <mergeCell ref="N43:O43"/>
  </mergeCells>
  <printOptions horizontalCentered="1"/>
  <pageMargins left="0.5905511811023623" right="0.5905511811023623" top="0.7874015748031497" bottom="0.5905511811023623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06"/>
  <sheetViews>
    <sheetView zoomScalePageLayoutView="0" workbookViewId="0" topLeftCell="A1">
      <selection activeCell="K11" sqref="K11"/>
    </sheetView>
  </sheetViews>
  <sheetFormatPr defaultColWidth="7.00390625" defaultRowHeight="12.75" customHeight="1"/>
  <cols>
    <col min="1" max="1" width="2.625" style="1" customWidth="1"/>
    <col min="2" max="13" width="7.00390625" style="1" customWidth="1"/>
    <col min="14" max="14" width="2.75390625" style="1" customWidth="1"/>
    <col min="15" max="16384" width="7.00390625" style="1" customWidth="1"/>
  </cols>
  <sheetData>
    <row r="1" spans="1:14" ht="12.75" customHeight="1">
      <c r="A1" s="83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14" s="14" customFormat="1" ht="12.75" customHeight="1">
      <c r="A2" s="13"/>
      <c r="B2" s="127" t="s">
        <v>158</v>
      </c>
      <c r="C2" s="13"/>
      <c r="D2" s="13"/>
      <c r="E2" s="13"/>
      <c r="F2" s="689" t="s">
        <v>151</v>
      </c>
      <c r="G2" s="689"/>
      <c r="H2" s="689"/>
      <c r="I2" s="689"/>
      <c r="J2" s="13"/>
      <c r="K2" s="13"/>
      <c r="L2" s="13"/>
      <c r="M2" s="13"/>
      <c r="N2" s="13"/>
    </row>
    <row r="3" spans="1:14" ht="12.7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s="3" customFormat="1" ht="12.75" customHeight="1" thickBot="1">
      <c r="A4" s="84"/>
      <c r="B4" s="85" t="s">
        <v>127</v>
      </c>
      <c r="C4" s="86" t="s">
        <v>128</v>
      </c>
      <c r="D4" s="11"/>
      <c r="E4" s="85" t="s">
        <v>129</v>
      </c>
      <c r="F4" s="128" t="s">
        <v>128</v>
      </c>
      <c r="G4" s="11"/>
      <c r="H4" s="11"/>
      <c r="I4" s="11"/>
      <c r="J4" s="11"/>
      <c r="K4" s="11"/>
      <c r="L4" s="11"/>
      <c r="M4" s="11"/>
      <c r="N4" s="11"/>
    </row>
    <row r="5" spans="1:14" s="3" customFormat="1" ht="12.75" customHeight="1">
      <c r="A5" s="4"/>
      <c r="B5" s="87">
        <v>0</v>
      </c>
      <c r="C5" s="88">
        <v>1</v>
      </c>
      <c r="D5" s="8"/>
      <c r="E5" s="89">
        <v>0</v>
      </c>
      <c r="F5" s="90">
        <v>1</v>
      </c>
      <c r="G5" s="8"/>
      <c r="H5" s="8"/>
      <c r="I5" s="8"/>
      <c r="J5" s="12"/>
      <c r="K5" s="8"/>
      <c r="L5" s="8"/>
      <c r="M5" s="8"/>
      <c r="N5" s="4"/>
    </row>
    <row r="6" spans="1:14" s="3" customFormat="1" ht="12.75" customHeight="1">
      <c r="A6" s="4"/>
      <c r="B6" s="91">
        <v>125</v>
      </c>
      <c r="C6" s="92">
        <v>2</v>
      </c>
      <c r="D6" s="12"/>
      <c r="E6" s="91">
        <v>200</v>
      </c>
      <c r="F6" s="92">
        <v>2</v>
      </c>
      <c r="G6" s="8"/>
      <c r="H6" s="8"/>
      <c r="I6" s="8"/>
      <c r="J6" s="12"/>
      <c r="K6" s="8"/>
      <c r="L6" s="12"/>
      <c r="M6" s="8"/>
      <c r="N6" s="4"/>
    </row>
    <row r="7" spans="1:14" s="3" customFormat="1" ht="12.75" customHeight="1">
      <c r="A7" s="4"/>
      <c r="B7" s="93">
        <f aca="true" t="shared" si="0" ref="B7:B38">(B6-B5)+25+B6</f>
        <v>275</v>
      </c>
      <c r="C7" s="92">
        <v>3</v>
      </c>
      <c r="D7" s="12"/>
      <c r="E7" s="93">
        <f aca="true" t="shared" si="1" ref="E7:E38">(E6-E5)+200+E6</f>
        <v>600</v>
      </c>
      <c r="F7" s="92">
        <v>3</v>
      </c>
      <c r="G7" s="8"/>
      <c r="H7" s="8"/>
      <c r="I7" s="8"/>
      <c r="J7" s="12"/>
      <c r="K7" s="8"/>
      <c r="L7" s="12"/>
      <c r="M7" s="8"/>
      <c r="N7" s="4"/>
    </row>
    <row r="8" spans="1:14" s="3" customFormat="1" ht="12.75" customHeight="1">
      <c r="A8" s="4"/>
      <c r="B8" s="93">
        <f t="shared" si="0"/>
        <v>450</v>
      </c>
      <c r="C8" s="92">
        <v>4</v>
      </c>
      <c r="D8" s="12"/>
      <c r="E8" s="93">
        <f t="shared" si="1"/>
        <v>1200</v>
      </c>
      <c r="F8" s="92">
        <v>4</v>
      </c>
      <c r="G8" s="8"/>
      <c r="H8" s="8"/>
      <c r="I8" s="8"/>
      <c r="J8" s="12"/>
      <c r="K8" s="8"/>
      <c r="L8" s="12"/>
      <c r="M8" s="8"/>
      <c r="N8" s="4"/>
    </row>
    <row r="9" spans="1:14" s="3" customFormat="1" ht="12.75" customHeight="1">
      <c r="A9" s="4"/>
      <c r="B9" s="93">
        <f t="shared" si="0"/>
        <v>650</v>
      </c>
      <c r="C9" s="92">
        <v>5</v>
      </c>
      <c r="D9" s="12"/>
      <c r="E9" s="93">
        <f t="shared" si="1"/>
        <v>2000</v>
      </c>
      <c r="F9" s="92">
        <v>5</v>
      </c>
      <c r="G9" s="8"/>
      <c r="H9" s="8"/>
      <c r="I9" s="8"/>
      <c r="J9" s="12"/>
      <c r="K9" s="8"/>
      <c r="L9" s="12"/>
      <c r="M9" s="8"/>
      <c r="N9" s="4"/>
    </row>
    <row r="10" spans="1:14" s="3" customFormat="1" ht="12.75" customHeight="1">
      <c r="A10" s="4"/>
      <c r="B10" s="93">
        <f t="shared" si="0"/>
        <v>875</v>
      </c>
      <c r="C10" s="92">
        <v>6</v>
      </c>
      <c r="D10" s="12"/>
      <c r="E10" s="93">
        <f t="shared" si="1"/>
        <v>3000</v>
      </c>
      <c r="F10" s="92">
        <v>6</v>
      </c>
      <c r="G10" s="8"/>
      <c r="H10" s="8"/>
      <c r="I10" s="8"/>
      <c r="J10" s="12"/>
      <c r="K10" s="8"/>
      <c r="L10" s="12"/>
      <c r="M10" s="8"/>
      <c r="N10" s="4"/>
    </row>
    <row r="11" spans="1:14" s="3" customFormat="1" ht="12.75" customHeight="1">
      <c r="A11" s="4"/>
      <c r="B11" s="93">
        <f t="shared" si="0"/>
        <v>1125</v>
      </c>
      <c r="C11" s="92">
        <v>7</v>
      </c>
      <c r="D11" s="12"/>
      <c r="E11" s="93">
        <f t="shared" si="1"/>
        <v>4200</v>
      </c>
      <c r="F11" s="92">
        <v>7</v>
      </c>
      <c r="G11" s="8"/>
      <c r="H11" s="8"/>
      <c r="I11" s="8"/>
      <c r="J11" s="12"/>
      <c r="K11" s="8"/>
      <c r="L11" s="12"/>
      <c r="M11" s="8"/>
      <c r="N11" s="4"/>
    </row>
    <row r="12" spans="1:14" s="3" customFormat="1" ht="12.75" customHeight="1">
      <c r="A12" s="4"/>
      <c r="B12" s="93">
        <f t="shared" si="0"/>
        <v>1400</v>
      </c>
      <c r="C12" s="92">
        <v>8</v>
      </c>
      <c r="D12" s="12"/>
      <c r="E12" s="93">
        <f t="shared" si="1"/>
        <v>5600</v>
      </c>
      <c r="F12" s="92">
        <v>8</v>
      </c>
      <c r="G12" s="8"/>
      <c r="H12" s="8"/>
      <c r="I12" s="8"/>
      <c r="J12" s="12"/>
      <c r="K12" s="8"/>
      <c r="L12" s="12"/>
      <c r="M12" s="8"/>
      <c r="N12" s="4"/>
    </row>
    <row r="13" spans="1:14" s="3" customFormat="1" ht="12.75" customHeight="1">
      <c r="A13" s="4"/>
      <c r="B13" s="93">
        <f t="shared" si="0"/>
        <v>1700</v>
      </c>
      <c r="C13" s="92">
        <v>9</v>
      </c>
      <c r="D13" s="12"/>
      <c r="E13" s="93">
        <f t="shared" si="1"/>
        <v>7200</v>
      </c>
      <c r="F13" s="92">
        <v>9</v>
      </c>
      <c r="G13" s="8"/>
      <c r="H13" s="8"/>
      <c r="I13" s="8"/>
      <c r="J13" s="12"/>
      <c r="K13" s="8"/>
      <c r="L13" s="12"/>
      <c r="M13" s="8"/>
      <c r="N13" s="4"/>
    </row>
    <row r="14" spans="1:14" s="3" customFormat="1" ht="12.75" customHeight="1">
      <c r="A14" s="4"/>
      <c r="B14" s="93">
        <f t="shared" si="0"/>
        <v>2025</v>
      </c>
      <c r="C14" s="92">
        <v>10</v>
      </c>
      <c r="D14" s="12"/>
      <c r="E14" s="93">
        <f t="shared" si="1"/>
        <v>9000</v>
      </c>
      <c r="F14" s="92">
        <v>10</v>
      </c>
      <c r="G14" s="8"/>
      <c r="H14" s="8"/>
      <c r="I14" s="8"/>
      <c r="J14" s="12"/>
      <c r="K14" s="8"/>
      <c r="L14" s="12"/>
      <c r="M14" s="8"/>
      <c r="N14" s="4"/>
    </row>
    <row r="15" spans="1:14" s="3" customFormat="1" ht="12.75" customHeight="1">
      <c r="A15" s="4"/>
      <c r="B15" s="93">
        <f t="shared" si="0"/>
        <v>2375</v>
      </c>
      <c r="C15" s="92">
        <v>11</v>
      </c>
      <c r="D15" s="12"/>
      <c r="E15" s="93">
        <f t="shared" si="1"/>
        <v>11000</v>
      </c>
      <c r="F15" s="92">
        <v>11</v>
      </c>
      <c r="G15" s="8"/>
      <c r="H15" s="8"/>
      <c r="I15" s="8"/>
      <c r="J15" s="12"/>
      <c r="K15" s="8"/>
      <c r="L15" s="12"/>
      <c r="M15" s="8"/>
      <c r="N15" s="4"/>
    </row>
    <row r="16" spans="1:14" s="3" customFormat="1" ht="12.75" customHeight="1">
      <c r="A16" s="4"/>
      <c r="B16" s="93">
        <f t="shared" si="0"/>
        <v>2750</v>
      </c>
      <c r="C16" s="92">
        <v>12</v>
      </c>
      <c r="D16" s="12"/>
      <c r="E16" s="93">
        <f t="shared" si="1"/>
        <v>13200</v>
      </c>
      <c r="F16" s="92">
        <v>12</v>
      </c>
      <c r="G16" s="8"/>
      <c r="H16" s="8"/>
      <c r="I16" s="8"/>
      <c r="J16" s="12"/>
      <c r="K16" s="8"/>
      <c r="L16" s="12"/>
      <c r="M16" s="8"/>
      <c r="N16" s="4"/>
    </row>
    <row r="17" spans="1:14" s="3" customFormat="1" ht="12.75" customHeight="1">
      <c r="A17" s="4"/>
      <c r="B17" s="93">
        <f t="shared" si="0"/>
        <v>3150</v>
      </c>
      <c r="C17" s="92">
        <v>13</v>
      </c>
      <c r="D17" s="12"/>
      <c r="E17" s="93">
        <f t="shared" si="1"/>
        <v>15600</v>
      </c>
      <c r="F17" s="92">
        <v>13</v>
      </c>
      <c r="G17" s="8"/>
      <c r="H17" s="8"/>
      <c r="I17" s="8"/>
      <c r="J17" s="8"/>
      <c r="K17" s="8"/>
      <c r="L17" s="12"/>
      <c r="M17" s="8"/>
      <c r="N17" s="4"/>
    </row>
    <row r="18" spans="1:14" s="3" customFormat="1" ht="12.75" customHeight="1">
      <c r="A18" s="4"/>
      <c r="B18" s="93">
        <f t="shared" si="0"/>
        <v>3575</v>
      </c>
      <c r="C18" s="92">
        <v>14</v>
      </c>
      <c r="D18" s="12"/>
      <c r="E18" s="93">
        <f t="shared" si="1"/>
        <v>18200</v>
      </c>
      <c r="F18" s="92">
        <v>14</v>
      </c>
      <c r="G18" s="8"/>
      <c r="H18" s="8"/>
      <c r="I18" s="8"/>
      <c r="J18" s="12"/>
      <c r="K18" s="8"/>
      <c r="L18" s="12"/>
      <c r="M18" s="8"/>
      <c r="N18" s="4"/>
    </row>
    <row r="19" spans="1:14" s="3" customFormat="1" ht="12.75" customHeight="1">
      <c r="A19" s="4"/>
      <c r="B19" s="93">
        <f t="shared" si="0"/>
        <v>4025</v>
      </c>
      <c r="C19" s="92">
        <v>15</v>
      </c>
      <c r="D19" s="12"/>
      <c r="E19" s="93">
        <f t="shared" si="1"/>
        <v>21000</v>
      </c>
      <c r="F19" s="92">
        <v>15</v>
      </c>
      <c r="G19" s="8"/>
      <c r="H19" s="8"/>
      <c r="I19" s="8"/>
      <c r="J19" s="12"/>
      <c r="K19" s="8"/>
      <c r="L19" s="12"/>
      <c r="M19" s="8"/>
      <c r="N19" s="4"/>
    </row>
    <row r="20" spans="1:14" s="3" customFormat="1" ht="12.75" customHeight="1">
      <c r="A20" s="4"/>
      <c r="B20" s="93">
        <f t="shared" si="0"/>
        <v>4500</v>
      </c>
      <c r="C20" s="92">
        <v>16</v>
      </c>
      <c r="D20" s="12"/>
      <c r="E20" s="93">
        <f t="shared" si="1"/>
        <v>24000</v>
      </c>
      <c r="F20" s="92">
        <v>16</v>
      </c>
      <c r="G20" s="8"/>
      <c r="H20" s="8"/>
      <c r="I20" s="8"/>
      <c r="J20" s="12"/>
      <c r="K20" s="8"/>
      <c r="L20" s="12"/>
      <c r="M20" s="8"/>
      <c r="N20" s="4"/>
    </row>
    <row r="21" spans="1:14" s="3" customFormat="1" ht="12.75" customHeight="1">
      <c r="A21" s="4"/>
      <c r="B21" s="93">
        <f t="shared" si="0"/>
        <v>5000</v>
      </c>
      <c r="C21" s="92">
        <v>17</v>
      </c>
      <c r="D21" s="12"/>
      <c r="E21" s="93">
        <f t="shared" si="1"/>
        <v>27200</v>
      </c>
      <c r="F21" s="92">
        <v>17</v>
      </c>
      <c r="G21" s="8"/>
      <c r="H21" s="8"/>
      <c r="I21" s="8"/>
      <c r="J21" s="12"/>
      <c r="K21" s="8"/>
      <c r="L21" s="12"/>
      <c r="M21" s="8"/>
      <c r="N21" s="4"/>
    </row>
    <row r="22" spans="1:14" s="3" customFormat="1" ht="12.75" customHeight="1">
      <c r="A22" s="4"/>
      <c r="B22" s="93">
        <f t="shared" si="0"/>
        <v>5525</v>
      </c>
      <c r="C22" s="92">
        <v>18</v>
      </c>
      <c r="D22" s="12"/>
      <c r="E22" s="93">
        <f t="shared" si="1"/>
        <v>30600</v>
      </c>
      <c r="F22" s="92">
        <v>18</v>
      </c>
      <c r="G22" s="8"/>
      <c r="H22" s="8"/>
      <c r="I22" s="8"/>
      <c r="J22" s="12"/>
      <c r="K22" s="8"/>
      <c r="L22" s="12"/>
      <c r="M22" s="8"/>
      <c r="N22" s="4"/>
    </row>
    <row r="23" spans="1:14" s="3" customFormat="1" ht="12.75" customHeight="1">
      <c r="A23" s="4"/>
      <c r="B23" s="93">
        <f t="shared" si="0"/>
        <v>6075</v>
      </c>
      <c r="C23" s="92">
        <v>19</v>
      </c>
      <c r="D23" s="12"/>
      <c r="E23" s="93">
        <f t="shared" si="1"/>
        <v>34200</v>
      </c>
      <c r="F23" s="92">
        <v>19</v>
      </c>
      <c r="G23" s="8"/>
      <c r="H23" s="8"/>
      <c r="I23" s="8"/>
      <c r="J23" s="12"/>
      <c r="K23" s="8"/>
      <c r="L23" s="12"/>
      <c r="M23" s="8"/>
      <c r="N23" s="4"/>
    </row>
    <row r="24" spans="1:14" s="3" customFormat="1" ht="12.75" customHeight="1">
      <c r="A24" s="4"/>
      <c r="B24" s="93">
        <f t="shared" si="0"/>
        <v>6650</v>
      </c>
      <c r="C24" s="92">
        <v>20</v>
      </c>
      <c r="D24" s="12"/>
      <c r="E24" s="93">
        <f t="shared" si="1"/>
        <v>38000</v>
      </c>
      <c r="F24" s="92">
        <v>20</v>
      </c>
      <c r="G24" s="8"/>
      <c r="H24" s="8"/>
      <c r="I24" s="8"/>
      <c r="J24" s="12"/>
      <c r="K24" s="8"/>
      <c r="L24" s="12"/>
      <c r="M24" s="8"/>
      <c r="N24" s="4"/>
    </row>
    <row r="25" spans="1:14" s="3" customFormat="1" ht="12.75" customHeight="1">
      <c r="A25" s="4"/>
      <c r="B25" s="93">
        <f t="shared" si="0"/>
        <v>7250</v>
      </c>
      <c r="C25" s="92">
        <v>21</v>
      </c>
      <c r="D25" s="12"/>
      <c r="E25" s="93">
        <f t="shared" si="1"/>
        <v>42000</v>
      </c>
      <c r="F25" s="92">
        <v>21</v>
      </c>
      <c r="G25" s="8"/>
      <c r="H25" s="8"/>
      <c r="I25" s="8"/>
      <c r="J25" s="12"/>
      <c r="K25" s="8"/>
      <c r="L25" s="12"/>
      <c r="M25" s="8"/>
      <c r="N25" s="4"/>
    </row>
    <row r="26" spans="1:14" s="3" customFormat="1" ht="12.75" customHeight="1">
      <c r="A26" s="4"/>
      <c r="B26" s="93">
        <f t="shared" si="0"/>
        <v>7875</v>
      </c>
      <c r="C26" s="92">
        <v>22</v>
      </c>
      <c r="D26" s="12"/>
      <c r="E26" s="93">
        <f t="shared" si="1"/>
        <v>46200</v>
      </c>
      <c r="F26" s="92">
        <v>22</v>
      </c>
      <c r="G26" s="8"/>
      <c r="H26" s="8"/>
      <c r="I26" s="8"/>
      <c r="J26" s="12"/>
      <c r="K26" s="8"/>
      <c r="L26" s="12"/>
      <c r="M26" s="8"/>
      <c r="N26" s="4"/>
    </row>
    <row r="27" spans="1:14" s="3" customFormat="1" ht="12.75" customHeight="1">
      <c r="A27" s="4"/>
      <c r="B27" s="93">
        <f t="shared" si="0"/>
        <v>8525</v>
      </c>
      <c r="C27" s="92">
        <v>23</v>
      </c>
      <c r="D27" s="12"/>
      <c r="E27" s="93">
        <f t="shared" si="1"/>
        <v>50600</v>
      </c>
      <c r="F27" s="92">
        <v>23</v>
      </c>
      <c r="G27" s="8"/>
      <c r="H27" s="8"/>
      <c r="I27" s="8"/>
      <c r="J27" s="12"/>
      <c r="K27" s="8"/>
      <c r="L27" s="12"/>
      <c r="M27" s="8"/>
      <c r="N27" s="4"/>
    </row>
    <row r="28" spans="1:14" s="3" customFormat="1" ht="12.75" customHeight="1">
      <c r="A28" s="4"/>
      <c r="B28" s="93">
        <f t="shared" si="0"/>
        <v>9200</v>
      </c>
      <c r="C28" s="92">
        <v>24</v>
      </c>
      <c r="D28" s="12"/>
      <c r="E28" s="93">
        <f t="shared" si="1"/>
        <v>55200</v>
      </c>
      <c r="F28" s="92">
        <v>24</v>
      </c>
      <c r="G28" s="8"/>
      <c r="H28" s="8"/>
      <c r="I28" s="8"/>
      <c r="J28" s="12"/>
      <c r="K28" s="8"/>
      <c r="L28" s="12"/>
      <c r="M28" s="8"/>
      <c r="N28" s="4"/>
    </row>
    <row r="29" spans="1:14" s="3" customFormat="1" ht="12.75" customHeight="1">
      <c r="A29" s="4"/>
      <c r="B29" s="93">
        <f t="shared" si="0"/>
        <v>9900</v>
      </c>
      <c r="C29" s="92">
        <v>25</v>
      </c>
      <c r="D29" s="12"/>
      <c r="E29" s="93">
        <f t="shared" si="1"/>
        <v>60000</v>
      </c>
      <c r="F29" s="92">
        <v>25</v>
      </c>
      <c r="G29" s="15"/>
      <c r="H29" s="8"/>
      <c r="I29" s="15"/>
      <c r="J29" s="12"/>
      <c r="K29" s="15"/>
      <c r="L29" s="12"/>
      <c r="M29" s="15"/>
      <c r="N29" s="4"/>
    </row>
    <row r="30" spans="1:14" s="3" customFormat="1" ht="12.75" customHeight="1">
      <c r="A30" s="4"/>
      <c r="B30" s="93">
        <f t="shared" si="0"/>
        <v>10625</v>
      </c>
      <c r="C30" s="92">
        <v>26</v>
      </c>
      <c r="D30" s="12"/>
      <c r="E30" s="93">
        <f t="shared" si="1"/>
        <v>65000</v>
      </c>
      <c r="F30" s="92">
        <v>26</v>
      </c>
      <c r="G30" s="15"/>
      <c r="H30" s="8"/>
      <c r="I30" s="15"/>
      <c r="J30" s="12"/>
      <c r="K30" s="15"/>
      <c r="L30" s="12"/>
      <c r="M30" s="15"/>
      <c r="N30" s="4"/>
    </row>
    <row r="31" spans="1:14" s="3" customFormat="1" ht="12.75" customHeight="1">
      <c r="A31" s="4"/>
      <c r="B31" s="93">
        <f t="shared" si="0"/>
        <v>11375</v>
      </c>
      <c r="C31" s="92">
        <v>27</v>
      </c>
      <c r="D31" s="12"/>
      <c r="E31" s="93">
        <f t="shared" si="1"/>
        <v>70200</v>
      </c>
      <c r="F31" s="92">
        <v>27</v>
      </c>
      <c r="G31" s="15"/>
      <c r="H31" s="8"/>
      <c r="I31" s="15"/>
      <c r="J31" s="12"/>
      <c r="K31" s="15"/>
      <c r="L31" s="12"/>
      <c r="M31" s="15"/>
      <c r="N31" s="4"/>
    </row>
    <row r="32" spans="1:14" s="3" customFormat="1" ht="12.75" customHeight="1">
      <c r="A32" s="4"/>
      <c r="B32" s="93">
        <f t="shared" si="0"/>
        <v>12150</v>
      </c>
      <c r="C32" s="92">
        <v>28</v>
      </c>
      <c r="D32" s="12"/>
      <c r="E32" s="93">
        <f t="shared" si="1"/>
        <v>75600</v>
      </c>
      <c r="F32" s="92">
        <v>28</v>
      </c>
      <c r="G32" s="15"/>
      <c r="H32" s="8"/>
      <c r="I32" s="15"/>
      <c r="J32" s="12"/>
      <c r="K32" s="15"/>
      <c r="L32" s="12"/>
      <c r="M32" s="15"/>
      <c r="N32" s="4"/>
    </row>
    <row r="33" spans="1:14" s="3" customFormat="1" ht="12.75" customHeight="1">
      <c r="A33" s="4"/>
      <c r="B33" s="93">
        <f t="shared" si="0"/>
        <v>12950</v>
      </c>
      <c r="C33" s="92">
        <v>29</v>
      </c>
      <c r="D33" s="12"/>
      <c r="E33" s="93">
        <f t="shared" si="1"/>
        <v>81200</v>
      </c>
      <c r="F33" s="92">
        <v>29</v>
      </c>
      <c r="G33" s="15"/>
      <c r="H33" s="8"/>
      <c r="I33" s="15"/>
      <c r="J33" s="12"/>
      <c r="K33" s="15"/>
      <c r="L33" s="12"/>
      <c r="M33" s="15"/>
      <c r="N33" s="4"/>
    </row>
    <row r="34" spans="1:14" s="3" customFormat="1" ht="12.75" customHeight="1">
      <c r="A34" s="4"/>
      <c r="B34" s="93">
        <f t="shared" si="0"/>
        <v>13775</v>
      </c>
      <c r="C34" s="92">
        <v>30</v>
      </c>
      <c r="D34" s="12"/>
      <c r="E34" s="93">
        <f t="shared" si="1"/>
        <v>87000</v>
      </c>
      <c r="F34" s="92">
        <v>30</v>
      </c>
      <c r="G34" s="15"/>
      <c r="H34" s="8"/>
      <c r="I34" s="15"/>
      <c r="J34" s="12"/>
      <c r="K34" s="15"/>
      <c r="L34" s="12"/>
      <c r="M34" s="15"/>
      <c r="N34" s="4"/>
    </row>
    <row r="35" spans="1:14" s="3" customFormat="1" ht="12.75" customHeight="1">
      <c r="A35" s="4"/>
      <c r="B35" s="93">
        <f t="shared" si="0"/>
        <v>14625</v>
      </c>
      <c r="C35" s="92">
        <v>31</v>
      </c>
      <c r="D35" s="12"/>
      <c r="E35" s="93">
        <f t="shared" si="1"/>
        <v>93000</v>
      </c>
      <c r="F35" s="92">
        <v>31</v>
      </c>
      <c r="G35" s="15"/>
      <c r="H35" s="8"/>
      <c r="I35" s="15"/>
      <c r="J35" s="12"/>
      <c r="K35" s="15"/>
      <c r="L35" s="12"/>
      <c r="M35" s="15"/>
      <c r="N35" s="4"/>
    </row>
    <row r="36" spans="1:14" s="3" customFormat="1" ht="12.75" customHeight="1">
      <c r="A36" s="4"/>
      <c r="B36" s="93">
        <f t="shared" si="0"/>
        <v>15500</v>
      </c>
      <c r="C36" s="92">
        <v>32</v>
      </c>
      <c r="D36" s="12"/>
      <c r="E36" s="93">
        <f t="shared" si="1"/>
        <v>99200</v>
      </c>
      <c r="F36" s="92">
        <v>32</v>
      </c>
      <c r="G36" s="15"/>
      <c r="H36" s="8"/>
      <c r="I36" s="15"/>
      <c r="J36" s="12"/>
      <c r="K36" s="15"/>
      <c r="L36" s="12"/>
      <c r="M36" s="15"/>
      <c r="N36" s="4"/>
    </row>
    <row r="37" spans="1:14" s="3" customFormat="1" ht="12.75" customHeight="1">
      <c r="A37" s="4"/>
      <c r="B37" s="93">
        <f t="shared" si="0"/>
        <v>16400</v>
      </c>
      <c r="C37" s="92">
        <v>33</v>
      </c>
      <c r="D37" s="12"/>
      <c r="E37" s="93">
        <f t="shared" si="1"/>
        <v>105600</v>
      </c>
      <c r="F37" s="92">
        <v>33</v>
      </c>
      <c r="G37" s="15"/>
      <c r="H37" s="8"/>
      <c r="I37" s="15"/>
      <c r="J37" s="12"/>
      <c r="K37" s="15"/>
      <c r="L37" s="12"/>
      <c r="M37" s="15"/>
      <c r="N37" s="4"/>
    </row>
    <row r="38" spans="1:14" s="3" customFormat="1" ht="12.75" customHeight="1">
      <c r="A38" s="4"/>
      <c r="B38" s="93">
        <f t="shared" si="0"/>
        <v>17325</v>
      </c>
      <c r="C38" s="92">
        <v>34</v>
      </c>
      <c r="D38" s="12"/>
      <c r="E38" s="93">
        <f t="shared" si="1"/>
        <v>112200</v>
      </c>
      <c r="F38" s="92">
        <v>34</v>
      </c>
      <c r="G38" s="15"/>
      <c r="H38" s="8"/>
      <c r="I38" s="15"/>
      <c r="J38" s="12"/>
      <c r="K38" s="15"/>
      <c r="L38" s="12"/>
      <c r="M38" s="15"/>
      <c r="N38" s="4"/>
    </row>
    <row r="39" spans="1:14" s="3" customFormat="1" ht="12.75" customHeight="1">
      <c r="A39" s="4"/>
      <c r="B39" s="93">
        <f aca="true" t="shared" si="2" ref="B39:B70">(B38-B37)+25+B38</f>
        <v>18275</v>
      </c>
      <c r="C39" s="92">
        <v>35</v>
      </c>
      <c r="D39" s="12"/>
      <c r="E39" s="93">
        <f aca="true" t="shared" si="3" ref="E39:E70">(E38-E37)+200+E38</f>
        <v>119000</v>
      </c>
      <c r="F39" s="92">
        <v>35</v>
      </c>
      <c r="G39" s="15"/>
      <c r="H39" s="8"/>
      <c r="I39" s="15"/>
      <c r="J39" s="12"/>
      <c r="K39" s="15"/>
      <c r="L39" s="12"/>
      <c r="M39" s="15"/>
      <c r="N39" s="4"/>
    </row>
    <row r="40" spans="1:14" s="3" customFormat="1" ht="12.75" customHeight="1">
      <c r="A40" s="4"/>
      <c r="B40" s="93">
        <f t="shared" si="2"/>
        <v>19250</v>
      </c>
      <c r="C40" s="92">
        <v>36</v>
      </c>
      <c r="D40" s="12"/>
      <c r="E40" s="93">
        <f t="shared" si="3"/>
        <v>126000</v>
      </c>
      <c r="F40" s="92">
        <v>36</v>
      </c>
      <c r="G40" s="15"/>
      <c r="H40" s="8"/>
      <c r="I40" s="15"/>
      <c r="J40" s="12"/>
      <c r="K40" s="15"/>
      <c r="L40" s="12"/>
      <c r="M40" s="15"/>
      <c r="N40" s="4"/>
    </row>
    <row r="41" spans="1:14" s="3" customFormat="1" ht="12.75" customHeight="1">
      <c r="A41" s="4"/>
      <c r="B41" s="93">
        <f t="shared" si="2"/>
        <v>20250</v>
      </c>
      <c r="C41" s="92">
        <v>37</v>
      </c>
      <c r="D41" s="12"/>
      <c r="E41" s="93">
        <f t="shared" si="3"/>
        <v>133200</v>
      </c>
      <c r="F41" s="92">
        <v>37</v>
      </c>
      <c r="G41" s="15"/>
      <c r="H41" s="8"/>
      <c r="I41" s="15"/>
      <c r="J41" s="12"/>
      <c r="K41" s="15"/>
      <c r="L41" s="12"/>
      <c r="M41" s="15"/>
      <c r="N41" s="4"/>
    </row>
    <row r="42" spans="1:14" s="3" customFormat="1" ht="12.75" customHeight="1">
      <c r="A42" s="4"/>
      <c r="B42" s="93">
        <f t="shared" si="2"/>
        <v>21275</v>
      </c>
      <c r="C42" s="92">
        <v>38</v>
      </c>
      <c r="D42" s="12"/>
      <c r="E42" s="93">
        <f t="shared" si="3"/>
        <v>140600</v>
      </c>
      <c r="F42" s="92">
        <v>38</v>
      </c>
      <c r="G42" s="15"/>
      <c r="H42" s="8"/>
      <c r="I42" s="15"/>
      <c r="J42" s="12"/>
      <c r="K42" s="15"/>
      <c r="L42" s="12"/>
      <c r="M42" s="15"/>
      <c r="N42" s="4"/>
    </row>
    <row r="43" spans="1:14" s="3" customFormat="1" ht="12.75" customHeight="1">
      <c r="A43" s="4"/>
      <c r="B43" s="93">
        <f t="shared" si="2"/>
        <v>22325</v>
      </c>
      <c r="C43" s="92">
        <v>39</v>
      </c>
      <c r="D43" s="12"/>
      <c r="E43" s="93">
        <f t="shared" si="3"/>
        <v>148200</v>
      </c>
      <c r="F43" s="92">
        <v>39</v>
      </c>
      <c r="G43" s="15"/>
      <c r="H43" s="8"/>
      <c r="I43" s="15"/>
      <c r="J43" s="12"/>
      <c r="K43" s="15"/>
      <c r="L43" s="12"/>
      <c r="M43" s="15"/>
      <c r="N43" s="4"/>
    </row>
    <row r="44" spans="1:14" s="3" customFormat="1" ht="12.75" customHeight="1">
      <c r="A44" s="4"/>
      <c r="B44" s="93">
        <f t="shared" si="2"/>
        <v>23400</v>
      </c>
      <c r="C44" s="92">
        <v>40</v>
      </c>
      <c r="D44" s="12"/>
      <c r="E44" s="93">
        <f t="shared" si="3"/>
        <v>156000</v>
      </c>
      <c r="F44" s="92">
        <v>40</v>
      </c>
      <c r="G44" s="15"/>
      <c r="H44" s="8"/>
      <c r="I44" s="15"/>
      <c r="J44" s="12"/>
      <c r="K44" s="15"/>
      <c r="L44" s="12"/>
      <c r="M44" s="15"/>
      <c r="N44" s="4"/>
    </row>
    <row r="45" spans="1:14" s="3" customFormat="1" ht="12.75" customHeight="1">
      <c r="A45" s="4"/>
      <c r="B45" s="93">
        <f t="shared" si="2"/>
        <v>24500</v>
      </c>
      <c r="C45" s="92">
        <v>41</v>
      </c>
      <c r="D45" s="12"/>
      <c r="E45" s="93">
        <f t="shared" si="3"/>
        <v>164000</v>
      </c>
      <c r="F45" s="92">
        <v>41</v>
      </c>
      <c r="G45" s="15"/>
      <c r="H45" s="8"/>
      <c r="I45" s="15"/>
      <c r="J45" s="12"/>
      <c r="K45" s="15"/>
      <c r="L45" s="12"/>
      <c r="M45" s="15"/>
      <c r="N45" s="4"/>
    </row>
    <row r="46" spans="1:14" s="3" customFormat="1" ht="12.75" customHeight="1">
      <c r="A46" s="4"/>
      <c r="B46" s="93">
        <f t="shared" si="2"/>
        <v>25625</v>
      </c>
      <c r="C46" s="92">
        <v>42</v>
      </c>
      <c r="D46" s="12"/>
      <c r="E46" s="93">
        <f t="shared" si="3"/>
        <v>172200</v>
      </c>
      <c r="F46" s="92">
        <v>42</v>
      </c>
      <c r="G46" s="15"/>
      <c r="H46" s="8"/>
      <c r="I46" s="15"/>
      <c r="J46" s="12"/>
      <c r="K46" s="15"/>
      <c r="L46" s="12"/>
      <c r="M46" s="15"/>
      <c r="N46" s="4"/>
    </row>
    <row r="47" spans="1:14" s="3" customFormat="1" ht="12.75" customHeight="1">
      <c r="A47" s="4"/>
      <c r="B47" s="93">
        <f t="shared" si="2"/>
        <v>26775</v>
      </c>
      <c r="C47" s="92">
        <v>43</v>
      </c>
      <c r="D47" s="12"/>
      <c r="E47" s="93">
        <f t="shared" si="3"/>
        <v>180600</v>
      </c>
      <c r="F47" s="92">
        <v>43</v>
      </c>
      <c r="G47" s="15"/>
      <c r="H47" s="8"/>
      <c r="I47" s="15"/>
      <c r="J47" s="12"/>
      <c r="K47" s="15"/>
      <c r="L47" s="12"/>
      <c r="M47" s="15"/>
      <c r="N47" s="4"/>
    </row>
    <row r="48" spans="1:14" s="3" customFormat="1" ht="12.75" customHeight="1">
      <c r="A48" s="4"/>
      <c r="B48" s="93">
        <f t="shared" si="2"/>
        <v>27950</v>
      </c>
      <c r="C48" s="92">
        <v>44</v>
      </c>
      <c r="D48" s="12"/>
      <c r="E48" s="93">
        <f t="shared" si="3"/>
        <v>189200</v>
      </c>
      <c r="F48" s="92">
        <v>44</v>
      </c>
      <c r="G48" s="15"/>
      <c r="H48" s="8"/>
      <c r="I48" s="15"/>
      <c r="J48" s="12"/>
      <c r="K48" s="15"/>
      <c r="L48" s="12"/>
      <c r="M48" s="15"/>
      <c r="N48" s="4"/>
    </row>
    <row r="49" spans="1:14" s="3" customFormat="1" ht="12.75" customHeight="1">
      <c r="A49" s="4"/>
      <c r="B49" s="93">
        <f t="shared" si="2"/>
        <v>29150</v>
      </c>
      <c r="C49" s="92">
        <v>45</v>
      </c>
      <c r="D49" s="12"/>
      <c r="E49" s="93">
        <f t="shared" si="3"/>
        <v>198000</v>
      </c>
      <c r="F49" s="92">
        <v>45</v>
      </c>
      <c r="G49" s="15"/>
      <c r="H49" s="8"/>
      <c r="I49" s="15"/>
      <c r="J49" s="12"/>
      <c r="K49" s="15"/>
      <c r="L49" s="12"/>
      <c r="M49" s="15"/>
      <c r="N49" s="4"/>
    </row>
    <row r="50" spans="1:14" s="3" customFormat="1" ht="12.75" customHeight="1">
      <c r="A50" s="4"/>
      <c r="B50" s="93">
        <f t="shared" si="2"/>
        <v>30375</v>
      </c>
      <c r="C50" s="92">
        <v>46</v>
      </c>
      <c r="D50" s="12"/>
      <c r="E50" s="93">
        <f t="shared" si="3"/>
        <v>207000</v>
      </c>
      <c r="F50" s="92">
        <v>46</v>
      </c>
      <c r="G50" s="15"/>
      <c r="H50" s="8"/>
      <c r="I50" s="15"/>
      <c r="J50" s="12"/>
      <c r="K50" s="15"/>
      <c r="L50" s="12"/>
      <c r="M50" s="15"/>
      <c r="N50" s="4"/>
    </row>
    <row r="51" spans="1:14" s="3" customFormat="1" ht="12.75" customHeight="1">
      <c r="A51" s="4"/>
      <c r="B51" s="93">
        <f t="shared" si="2"/>
        <v>31625</v>
      </c>
      <c r="C51" s="92">
        <v>47</v>
      </c>
      <c r="D51" s="12"/>
      <c r="E51" s="93">
        <f t="shared" si="3"/>
        <v>216200</v>
      </c>
      <c r="F51" s="92">
        <v>47</v>
      </c>
      <c r="G51" s="15"/>
      <c r="H51" s="8"/>
      <c r="I51" s="15"/>
      <c r="J51" s="12"/>
      <c r="K51" s="15"/>
      <c r="L51" s="12"/>
      <c r="M51" s="15"/>
      <c r="N51" s="4"/>
    </row>
    <row r="52" spans="1:14" s="3" customFormat="1" ht="12.75" customHeight="1">
      <c r="A52" s="4"/>
      <c r="B52" s="93">
        <f t="shared" si="2"/>
        <v>32900</v>
      </c>
      <c r="C52" s="92">
        <v>48</v>
      </c>
      <c r="D52" s="12"/>
      <c r="E52" s="93">
        <f t="shared" si="3"/>
        <v>225600</v>
      </c>
      <c r="F52" s="92">
        <v>48</v>
      </c>
      <c r="G52" s="15"/>
      <c r="H52" s="8"/>
      <c r="I52" s="15"/>
      <c r="J52" s="12"/>
      <c r="K52" s="15"/>
      <c r="L52" s="12"/>
      <c r="M52" s="15"/>
      <c r="N52" s="4"/>
    </row>
    <row r="53" spans="1:14" s="3" customFormat="1" ht="12.75" customHeight="1">
      <c r="A53" s="4"/>
      <c r="B53" s="93">
        <f t="shared" si="2"/>
        <v>34200</v>
      </c>
      <c r="C53" s="92">
        <v>49</v>
      </c>
      <c r="D53" s="12"/>
      <c r="E53" s="93">
        <f t="shared" si="3"/>
        <v>235200</v>
      </c>
      <c r="F53" s="92">
        <v>49</v>
      </c>
      <c r="G53" s="15"/>
      <c r="H53" s="8"/>
      <c r="I53" s="15"/>
      <c r="J53" s="12"/>
      <c r="K53" s="15"/>
      <c r="L53" s="12"/>
      <c r="M53" s="15"/>
      <c r="N53" s="4"/>
    </row>
    <row r="54" spans="1:14" s="3" customFormat="1" ht="12.75" customHeight="1">
      <c r="A54" s="4"/>
      <c r="B54" s="93">
        <f t="shared" si="2"/>
        <v>35525</v>
      </c>
      <c r="C54" s="92">
        <v>50</v>
      </c>
      <c r="D54" s="12"/>
      <c r="E54" s="93">
        <f t="shared" si="3"/>
        <v>245000</v>
      </c>
      <c r="F54" s="92">
        <v>50</v>
      </c>
      <c r="G54" s="15"/>
      <c r="H54" s="8"/>
      <c r="I54" s="15"/>
      <c r="J54" s="12"/>
      <c r="K54" s="15"/>
      <c r="L54" s="12"/>
      <c r="M54" s="15"/>
      <c r="N54" s="4"/>
    </row>
    <row r="55" spans="1:14" s="3" customFormat="1" ht="12.75" customHeight="1">
      <c r="A55" s="4"/>
      <c r="B55" s="93">
        <f t="shared" si="2"/>
        <v>36875</v>
      </c>
      <c r="C55" s="92">
        <v>51</v>
      </c>
      <c r="D55" s="12"/>
      <c r="E55" s="93">
        <f t="shared" si="3"/>
        <v>255000</v>
      </c>
      <c r="F55" s="92">
        <v>51</v>
      </c>
      <c r="G55" s="15"/>
      <c r="H55" s="8"/>
      <c r="I55" s="15"/>
      <c r="J55" s="12"/>
      <c r="K55" s="15"/>
      <c r="L55" s="12"/>
      <c r="M55" s="15"/>
      <c r="N55" s="4"/>
    </row>
    <row r="56" spans="1:14" s="3" customFormat="1" ht="12.75" customHeight="1">
      <c r="A56" s="4"/>
      <c r="B56" s="93">
        <f t="shared" si="2"/>
        <v>38250</v>
      </c>
      <c r="C56" s="92">
        <v>52</v>
      </c>
      <c r="D56" s="12"/>
      <c r="E56" s="93">
        <f t="shared" si="3"/>
        <v>265200</v>
      </c>
      <c r="F56" s="92">
        <v>52</v>
      </c>
      <c r="G56" s="15"/>
      <c r="H56" s="8"/>
      <c r="I56" s="15"/>
      <c r="J56" s="12"/>
      <c r="K56" s="15"/>
      <c r="L56" s="12"/>
      <c r="M56" s="15"/>
      <c r="N56" s="4"/>
    </row>
    <row r="57" spans="1:14" s="3" customFormat="1" ht="12.75" customHeight="1">
      <c r="A57" s="4"/>
      <c r="B57" s="93">
        <f t="shared" si="2"/>
        <v>39650</v>
      </c>
      <c r="C57" s="92">
        <v>53</v>
      </c>
      <c r="D57" s="12"/>
      <c r="E57" s="93">
        <f t="shared" si="3"/>
        <v>275600</v>
      </c>
      <c r="F57" s="92">
        <v>53</v>
      </c>
      <c r="G57" s="15"/>
      <c r="H57" s="8"/>
      <c r="I57" s="94"/>
      <c r="J57" s="12"/>
      <c r="K57" s="15"/>
      <c r="L57" s="12"/>
      <c r="M57" s="16"/>
      <c r="N57" s="4"/>
    </row>
    <row r="58" spans="1:14" s="3" customFormat="1" ht="12.75" customHeight="1">
      <c r="A58" s="4"/>
      <c r="B58" s="93">
        <f t="shared" si="2"/>
        <v>41075</v>
      </c>
      <c r="C58" s="92">
        <v>54</v>
      </c>
      <c r="D58" s="94"/>
      <c r="E58" s="93">
        <f t="shared" si="3"/>
        <v>286200</v>
      </c>
      <c r="F58" s="92">
        <v>54</v>
      </c>
      <c r="G58" s="94"/>
      <c r="H58" s="94"/>
      <c r="I58" s="94"/>
      <c r="J58" s="15"/>
      <c r="K58" s="15"/>
      <c r="L58" s="16"/>
      <c r="M58" s="16"/>
      <c r="N58" s="4"/>
    </row>
    <row r="59" spans="1:14" s="3" customFormat="1" ht="12.75" customHeight="1">
      <c r="A59" s="4"/>
      <c r="B59" s="93">
        <f t="shared" si="2"/>
        <v>42525</v>
      </c>
      <c r="C59" s="92">
        <v>55</v>
      </c>
      <c r="D59" s="95"/>
      <c r="E59" s="93">
        <f t="shared" si="3"/>
        <v>297000</v>
      </c>
      <c r="F59" s="92">
        <v>55</v>
      </c>
      <c r="G59" s="8"/>
      <c r="H59" s="96"/>
      <c r="I59" s="8"/>
      <c r="J59" s="8"/>
      <c r="K59" s="8"/>
      <c r="L59" s="8"/>
      <c r="M59" s="8"/>
      <c r="N59" s="4"/>
    </row>
    <row r="60" spans="1:14" s="3" customFormat="1" ht="12.75" customHeight="1">
      <c r="A60" s="4"/>
      <c r="B60" s="93">
        <f t="shared" si="2"/>
        <v>44000</v>
      </c>
      <c r="C60" s="92">
        <v>56</v>
      </c>
      <c r="D60" s="95"/>
      <c r="E60" s="93">
        <f t="shared" si="3"/>
        <v>308000</v>
      </c>
      <c r="F60" s="92">
        <v>56</v>
      </c>
      <c r="G60" s="8"/>
      <c r="H60" s="96"/>
      <c r="I60" s="96"/>
      <c r="J60" s="96"/>
      <c r="K60" s="96"/>
      <c r="L60" s="8"/>
      <c r="M60" s="8"/>
      <c r="N60" s="4"/>
    </row>
    <row r="61" spans="1:14" s="3" customFormat="1" ht="12.75" customHeight="1">
      <c r="A61" s="4"/>
      <c r="B61" s="93">
        <f t="shared" si="2"/>
        <v>45500</v>
      </c>
      <c r="C61" s="92">
        <v>57</v>
      </c>
      <c r="D61" s="95"/>
      <c r="E61" s="93">
        <f t="shared" si="3"/>
        <v>319200</v>
      </c>
      <c r="F61" s="92">
        <v>57</v>
      </c>
      <c r="G61" s="8"/>
      <c r="H61" s="96"/>
      <c r="I61" s="96"/>
      <c r="J61" s="96"/>
      <c r="K61" s="96"/>
      <c r="L61" s="8"/>
      <c r="M61" s="8"/>
      <c r="N61" s="4"/>
    </row>
    <row r="62" spans="1:14" s="3" customFormat="1" ht="12.75" customHeight="1">
      <c r="A62" s="4"/>
      <c r="B62" s="93">
        <f t="shared" si="2"/>
        <v>47025</v>
      </c>
      <c r="C62" s="92">
        <v>58</v>
      </c>
      <c r="D62" s="4"/>
      <c r="E62" s="93">
        <f t="shared" si="3"/>
        <v>330600</v>
      </c>
      <c r="F62" s="92">
        <v>58</v>
      </c>
      <c r="G62" s="4"/>
      <c r="H62" s="4"/>
      <c r="I62" s="4"/>
      <c r="J62" s="4"/>
      <c r="K62" s="4"/>
      <c r="L62" s="4"/>
      <c r="M62" s="4"/>
      <c r="N62" s="4"/>
    </row>
    <row r="63" spans="1:14" s="3" customFormat="1" ht="12.75" customHeight="1">
      <c r="A63" s="4"/>
      <c r="B63" s="93">
        <f t="shared" si="2"/>
        <v>48575</v>
      </c>
      <c r="C63" s="92">
        <v>59</v>
      </c>
      <c r="D63" s="4"/>
      <c r="E63" s="93">
        <f t="shared" si="3"/>
        <v>342200</v>
      </c>
      <c r="F63" s="92">
        <v>59</v>
      </c>
      <c r="G63" s="4"/>
      <c r="H63" s="4"/>
      <c r="I63" s="4"/>
      <c r="J63" s="4"/>
      <c r="K63" s="4"/>
      <c r="L63" s="4"/>
      <c r="M63" s="4"/>
      <c r="N63" s="4"/>
    </row>
    <row r="64" spans="2:6" s="3" customFormat="1" ht="12.75" customHeight="1">
      <c r="B64" s="93">
        <f t="shared" si="2"/>
        <v>50150</v>
      </c>
      <c r="C64" s="92">
        <v>60</v>
      </c>
      <c r="E64" s="93">
        <f t="shared" si="3"/>
        <v>354000</v>
      </c>
      <c r="F64" s="92">
        <v>60</v>
      </c>
    </row>
    <row r="65" spans="2:6" s="3" customFormat="1" ht="12.75" customHeight="1">
      <c r="B65" s="93">
        <f t="shared" si="2"/>
        <v>51750</v>
      </c>
      <c r="C65" s="92">
        <v>61</v>
      </c>
      <c r="E65" s="93">
        <f t="shared" si="3"/>
        <v>366000</v>
      </c>
      <c r="F65" s="92">
        <v>61</v>
      </c>
    </row>
    <row r="66" spans="2:6" s="3" customFormat="1" ht="12.75" customHeight="1">
      <c r="B66" s="93">
        <f t="shared" si="2"/>
        <v>53375</v>
      </c>
      <c r="C66" s="92">
        <v>62</v>
      </c>
      <c r="E66" s="93">
        <f t="shared" si="3"/>
        <v>378200</v>
      </c>
      <c r="F66" s="92">
        <v>62</v>
      </c>
    </row>
    <row r="67" spans="2:6" s="3" customFormat="1" ht="12.75" customHeight="1">
      <c r="B67" s="93">
        <f t="shared" si="2"/>
        <v>55025</v>
      </c>
      <c r="C67" s="92">
        <v>63</v>
      </c>
      <c r="E67" s="93">
        <f t="shared" si="3"/>
        <v>390600</v>
      </c>
      <c r="F67" s="92">
        <v>63</v>
      </c>
    </row>
    <row r="68" spans="2:6" s="3" customFormat="1" ht="12.75" customHeight="1">
      <c r="B68" s="93">
        <f t="shared" si="2"/>
        <v>56700</v>
      </c>
      <c r="C68" s="92">
        <v>64</v>
      </c>
      <c r="E68" s="93">
        <f t="shared" si="3"/>
        <v>403200</v>
      </c>
      <c r="F68" s="92">
        <v>64</v>
      </c>
    </row>
    <row r="69" spans="2:6" s="3" customFormat="1" ht="12.75" customHeight="1">
      <c r="B69" s="93">
        <f t="shared" si="2"/>
        <v>58400</v>
      </c>
      <c r="C69" s="92">
        <v>65</v>
      </c>
      <c r="E69" s="93">
        <f t="shared" si="3"/>
        <v>416000</v>
      </c>
      <c r="F69" s="92">
        <v>65</v>
      </c>
    </row>
    <row r="70" spans="2:6" s="3" customFormat="1" ht="12.75" customHeight="1">
      <c r="B70" s="93">
        <f t="shared" si="2"/>
        <v>60125</v>
      </c>
      <c r="C70" s="92">
        <v>66</v>
      </c>
      <c r="E70" s="93">
        <f t="shared" si="3"/>
        <v>429000</v>
      </c>
      <c r="F70" s="92">
        <v>66</v>
      </c>
    </row>
    <row r="71" spans="2:6" s="3" customFormat="1" ht="12.75" customHeight="1">
      <c r="B71" s="93">
        <f aca="true" t="shared" si="4" ref="B71:B102">(B70-B69)+25+B70</f>
        <v>61875</v>
      </c>
      <c r="C71" s="92">
        <v>67</v>
      </c>
      <c r="E71" s="93">
        <f aca="true" t="shared" si="5" ref="E71:E102">(E70-E69)+200+E70</f>
        <v>442200</v>
      </c>
      <c r="F71" s="92">
        <v>67</v>
      </c>
    </row>
    <row r="72" spans="2:6" s="3" customFormat="1" ht="12.75" customHeight="1">
      <c r="B72" s="93">
        <f t="shared" si="4"/>
        <v>63650</v>
      </c>
      <c r="C72" s="92">
        <v>68</v>
      </c>
      <c r="E72" s="93">
        <f t="shared" si="5"/>
        <v>455600</v>
      </c>
      <c r="F72" s="92">
        <v>68</v>
      </c>
    </row>
    <row r="73" spans="2:6" s="3" customFormat="1" ht="12.75" customHeight="1">
      <c r="B73" s="93">
        <f t="shared" si="4"/>
        <v>65450</v>
      </c>
      <c r="C73" s="92">
        <v>69</v>
      </c>
      <c r="E73" s="93">
        <f t="shared" si="5"/>
        <v>469200</v>
      </c>
      <c r="F73" s="92">
        <v>69</v>
      </c>
    </row>
    <row r="74" spans="2:6" s="3" customFormat="1" ht="12.75" customHeight="1">
      <c r="B74" s="93">
        <f t="shared" si="4"/>
        <v>67275</v>
      </c>
      <c r="C74" s="92">
        <v>70</v>
      </c>
      <c r="E74" s="93">
        <f t="shared" si="5"/>
        <v>483000</v>
      </c>
      <c r="F74" s="92">
        <v>70</v>
      </c>
    </row>
    <row r="75" spans="2:6" s="3" customFormat="1" ht="12.75" customHeight="1">
      <c r="B75" s="93">
        <f t="shared" si="4"/>
        <v>69125</v>
      </c>
      <c r="C75" s="92">
        <v>71</v>
      </c>
      <c r="E75" s="93">
        <f t="shared" si="5"/>
        <v>497000</v>
      </c>
      <c r="F75" s="92">
        <v>71</v>
      </c>
    </row>
    <row r="76" spans="2:6" s="3" customFormat="1" ht="12.75" customHeight="1">
      <c r="B76" s="93">
        <f t="shared" si="4"/>
        <v>71000</v>
      </c>
      <c r="C76" s="92">
        <v>72</v>
      </c>
      <c r="E76" s="93">
        <f t="shared" si="5"/>
        <v>511200</v>
      </c>
      <c r="F76" s="92">
        <v>72</v>
      </c>
    </row>
    <row r="77" spans="2:6" s="3" customFormat="1" ht="12.75" customHeight="1">
      <c r="B77" s="93">
        <f t="shared" si="4"/>
        <v>72900</v>
      </c>
      <c r="C77" s="92">
        <v>73</v>
      </c>
      <c r="E77" s="93">
        <f t="shared" si="5"/>
        <v>525600</v>
      </c>
      <c r="F77" s="92">
        <v>73</v>
      </c>
    </row>
    <row r="78" spans="2:6" s="3" customFormat="1" ht="12.75" customHeight="1">
      <c r="B78" s="93">
        <f t="shared" si="4"/>
        <v>74825</v>
      </c>
      <c r="C78" s="92">
        <v>74</v>
      </c>
      <c r="E78" s="93">
        <f t="shared" si="5"/>
        <v>540200</v>
      </c>
      <c r="F78" s="92">
        <v>74</v>
      </c>
    </row>
    <row r="79" spans="2:6" s="3" customFormat="1" ht="12.75" customHeight="1">
      <c r="B79" s="93">
        <f t="shared" si="4"/>
        <v>76775</v>
      </c>
      <c r="C79" s="92">
        <v>75</v>
      </c>
      <c r="E79" s="93">
        <f t="shared" si="5"/>
        <v>555000</v>
      </c>
      <c r="F79" s="92">
        <v>75</v>
      </c>
    </row>
    <row r="80" spans="2:6" s="3" customFormat="1" ht="12.75" customHeight="1">
      <c r="B80" s="93">
        <f t="shared" si="4"/>
        <v>78750</v>
      </c>
      <c r="C80" s="92">
        <v>76</v>
      </c>
      <c r="E80" s="93">
        <f t="shared" si="5"/>
        <v>570000</v>
      </c>
      <c r="F80" s="92">
        <v>76</v>
      </c>
    </row>
    <row r="81" spans="2:6" s="3" customFormat="1" ht="12.75" customHeight="1">
      <c r="B81" s="93">
        <f t="shared" si="4"/>
        <v>80750</v>
      </c>
      <c r="C81" s="92">
        <v>77</v>
      </c>
      <c r="E81" s="93">
        <f t="shared" si="5"/>
        <v>585200</v>
      </c>
      <c r="F81" s="92">
        <v>77</v>
      </c>
    </row>
    <row r="82" spans="2:6" s="3" customFormat="1" ht="12.75" customHeight="1">
      <c r="B82" s="93">
        <f t="shared" si="4"/>
        <v>82775</v>
      </c>
      <c r="C82" s="92">
        <v>78</v>
      </c>
      <c r="E82" s="93">
        <f t="shared" si="5"/>
        <v>600600</v>
      </c>
      <c r="F82" s="92">
        <v>78</v>
      </c>
    </row>
    <row r="83" spans="2:6" s="3" customFormat="1" ht="12.75" customHeight="1">
      <c r="B83" s="93">
        <f t="shared" si="4"/>
        <v>84825</v>
      </c>
      <c r="C83" s="92">
        <v>79</v>
      </c>
      <c r="E83" s="93">
        <f t="shared" si="5"/>
        <v>616200</v>
      </c>
      <c r="F83" s="92">
        <v>79</v>
      </c>
    </row>
    <row r="84" spans="2:6" s="3" customFormat="1" ht="12.75" customHeight="1">
      <c r="B84" s="93">
        <f t="shared" si="4"/>
        <v>86900</v>
      </c>
      <c r="C84" s="92">
        <v>80</v>
      </c>
      <c r="E84" s="93">
        <f t="shared" si="5"/>
        <v>632000</v>
      </c>
      <c r="F84" s="92">
        <v>80</v>
      </c>
    </row>
    <row r="85" spans="2:6" s="3" customFormat="1" ht="12.75" customHeight="1">
      <c r="B85" s="93">
        <f t="shared" si="4"/>
        <v>89000</v>
      </c>
      <c r="C85" s="92">
        <v>81</v>
      </c>
      <c r="E85" s="93">
        <f t="shared" si="5"/>
        <v>648000</v>
      </c>
      <c r="F85" s="92">
        <v>81</v>
      </c>
    </row>
    <row r="86" spans="2:6" s="3" customFormat="1" ht="12.75" customHeight="1">
      <c r="B86" s="93">
        <f t="shared" si="4"/>
        <v>91125</v>
      </c>
      <c r="C86" s="92">
        <v>82</v>
      </c>
      <c r="E86" s="93">
        <f t="shared" si="5"/>
        <v>664200</v>
      </c>
      <c r="F86" s="92">
        <v>82</v>
      </c>
    </row>
    <row r="87" spans="2:6" s="3" customFormat="1" ht="12.75" customHeight="1">
      <c r="B87" s="93">
        <f t="shared" si="4"/>
        <v>93275</v>
      </c>
      <c r="C87" s="92">
        <v>83</v>
      </c>
      <c r="E87" s="93">
        <f t="shared" si="5"/>
        <v>680600</v>
      </c>
      <c r="F87" s="92">
        <v>83</v>
      </c>
    </row>
    <row r="88" spans="2:6" s="3" customFormat="1" ht="12.75" customHeight="1">
      <c r="B88" s="93">
        <f t="shared" si="4"/>
        <v>95450</v>
      </c>
      <c r="C88" s="92">
        <v>84</v>
      </c>
      <c r="E88" s="93">
        <f t="shared" si="5"/>
        <v>697200</v>
      </c>
      <c r="F88" s="92">
        <v>84</v>
      </c>
    </row>
    <row r="89" spans="2:6" s="3" customFormat="1" ht="12.75" customHeight="1">
      <c r="B89" s="93">
        <f t="shared" si="4"/>
        <v>97650</v>
      </c>
      <c r="C89" s="92">
        <v>85</v>
      </c>
      <c r="E89" s="93">
        <f t="shared" si="5"/>
        <v>714000</v>
      </c>
      <c r="F89" s="92">
        <v>85</v>
      </c>
    </row>
    <row r="90" spans="2:6" s="3" customFormat="1" ht="12.75" customHeight="1">
      <c r="B90" s="93">
        <f t="shared" si="4"/>
        <v>99875</v>
      </c>
      <c r="C90" s="92">
        <v>86</v>
      </c>
      <c r="E90" s="93">
        <f t="shared" si="5"/>
        <v>731000</v>
      </c>
      <c r="F90" s="92">
        <v>86</v>
      </c>
    </row>
    <row r="91" spans="2:6" s="3" customFormat="1" ht="12.75" customHeight="1">
      <c r="B91" s="93">
        <f t="shared" si="4"/>
        <v>102125</v>
      </c>
      <c r="C91" s="92">
        <v>87</v>
      </c>
      <c r="E91" s="93">
        <f t="shared" si="5"/>
        <v>748200</v>
      </c>
      <c r="F91" s="92">
        <v>87</v>
      </c>
    </row>
    <row r="92" spans="2:6" s="3" customFormat="1" ht="12.75" customHeight="1">
      <c r="B92" s="93">
        <f t="shared" si="4"/>
        <v>104400</v>
      </c>
      <c r="C92" s="92">
        <v>88</v>
      </c>
      <c r="E92" s="93">
        <f t="shared" si="5"/>
        <v>765600</v>
      </c>
      <c r="F92" s="92">
        <v>88</v>
      </c>
    </row>
    <row r="93" spans="2:6" s="3" customFormat="1" ht="12.75" customHeight="1">
      <c r="B93" s="93">
        <f t="shared" si="4"/>
        <v>106700</v>
      </c>
      <c r="C93" s="92">
        <v>89</v>
      </c>
      <c r="E93" s="93">
        <f t="shared" si="5"/>
        <v>783200</v>
      </c>
      <c r="F93" s="92">
        <v>89</v>
      </c>
    </row>
    <row r="94" spans="2:6" s="3" customFormat="1" ht="12.75" customHeight="1">
      <c r="B94" s="93">
        <f t="shared" si="4"/>
        <v>109025</v>
      </c>
      <c r="C94" s="92">
        <v>90</v>
      </c>
      <c r="E94" s="93">
        <f t="shared" si="5"/>
        <v>801000</v>
      </c>
      <c r="F94" s="92">
        <v>90</v>
      </c>
    </row>
    <row r="95" spans="2:6" s="3" customFormat="1" ht="12.75" customHeight="1">
      <c r="B95" s="93">
        <f t="shared" si="4"/>
        <v>111375</v>
      </c>
      <c r="C95" s="92">
        <v>91</v>
      </c>
      <c r="E95" s="93">
        <f t="shared" si="5"/>
        <v>819000</v>
      </c>
      <c r="F95" s="92">
        <v>91</v>
      </c>
    </row>
    <row r="96" spans="2:6" s="3" customFormat="1" ht="12.75" customHeight="1">
      <c r="B96" s="93">
        <f t="shared" si="4"/>
        <v>113750</v>
      </c>
      <c r="C96" s="92">
        <v>92</v>
      </c>
      <c r="E96" s="93">
        <f t="shared" si="5"/>
        <v>837200</v>
      </c>
      <c r="F96" s="92">
        <v>92</v>
      </c>
    </row>
    <row r="97" spans="2:6" s="3" customFormat="1" ht="12.75" customHeight="1">
      <c r="B97" s="93">
        <f t="shared" si="4"/>
        <v>116150</v>
      </c>
      <c r="C97" s="92">
        <v>93</v>
      </c>
      <c r="E97" s="93">
        <f t="shared" si="5"/>
        <v>855600</v>
      </c>
      <c r="F97" s="92">
        <v>93</v>
      </c>
    </row>
    <row r="98" spans="2:6" s="3" customFormat="1" ht="12.75" customHeight="1">
      <c r="B98" s="93">
        <f t="shared" si="4"/>
        <v>118575</v>
      </c>
      <c r="C98" s="92">
        <v>94</v>
      </c>
      <c r="E98" s="93">
        <f t="shared" si="5"/>
        <v>874200</v>
      </c>
      <c r="F98" s="92">
        <v>94</v>
      </c>
    </row>
    <row r="99" spans="2:6" s="3" customFormat="1" ht="12.75" customHeight="1">
      <c r="B99" s="93">
        <f t="shared" si="4"/>
        <v>121025</v>
      </c>
      <c r="C99" s="92">
        <v>95</v>
      </c>
      <c r="E99" s="93">
        <f t="shared" si="5"/>
        <v>893000</v>
      </c>
      <c r="F99" s="92">
        <v>95</v>
      </c>
    </row>
    <row r="100" spans="2:6" s="3" customFormat="1" ht="12.75" customHeight="1">
      <c r="B100" s="93">
        <f t="shared" si="4"/>
        <v>123500</v>
      </c>
      <c r="C100" s="92">
        <v>96</v>
      </c>
      <c r="E100" s="93">
        <f t="shared" si="5"/>
        <v>912000</v>
      </c>
      <c r="F100" s="92">
        <v>96</v>
      </c>
    </row>
    <row r="101" spans="2:6" s="3" customFormat="1" ht="12.75" customHeight="1">
      <c r="B101" s="93">
        <f t="shared" si="4"/>
        <v>126000</v>
      </c>
      <c r="C101" s="92">
        <v>97</v>
      </c>
      <c r="E101" s="93">
        <f t="shared" si="5"/>
        <v>931200</v>
      </c>
      <c r="F101" s="92">
        <v>97</v>
      </c>
    </row>
    <row r="102" spans="2:6" s="3" customFormat="1" ht="12.75" customHeight="1">
      <c r="B102" s="93">
        <f t="shared" si="4"/>
        <v>128525</v>
      </c>
      <c r="C102" s="92">
        <v>98</v>
      </c>
      <c r="E102" s="93">
        <f t="shared" si="5"/>
        <v>950600</v>
      </c>
      <c r="F102" s="92">
        <v>98</v>
      </c>
    </row>
    <row r="103" spans="2:6" s="3" customFormat="1" ht="12.75" customHeight="1">
      <c r="B103" s="93">
        <f aca="true" t="shared" si="6" ref="B103:B134">(B102-B101)+25+B102</f>
        <v>131075</v>
      </c>
      <c r="C103" s="92">
        <v>99</v>
      </c>
      <c r="E103" s="93">
        <f aca="true" t="shared" si="7" ref="E103:E134">(E102-E101)+200+E102</f>
        <v>970200</v>
      </c>
      <c r="F103" s="92">
        <v>99</v>
      </c>
    </row>
    <row r="104" spans="2:6" s="3" customFormat="1" ht="12.75" customHeight="1">
      <c r="B104" s="93">
        <f t="shared" si="6"/>
        <v>133650</v>
      </c>
      <c r="C104" s="92">
        <v>100</v>
      </c>
      <c r="E104" s="93">
        <f t="shared" si="7"/>
        <v>990000</v>
      </c>
      <c r="F104" s="92">
        <v>100</v>
      </c>
    </row>
    <row r="105" spans="2:6" s="3" customFormat="1" ht="12.75" customHeight="1">
      <c r="B105" s="93">
        <f t="shared" si="6"/>
        <v>136250</v>
      </c>
      <c r="C105" s="92">
        <v>101</v>
      </c>
      <c r="E105" s="93">
        <f t="shared" si="7"/>
        <v>1010000</v>
      </c>
      <c r="F105" s="92">
        <v>101</v>
      </c>
    </row>
    <row r="106" spans="2:6" s="3" customFormat="1" ht="12.75" customHeight="1">
      <c r="B106" s="93">
        <f t="shared" si="6"/>
        <v>138875</v>
      </c>
      <c r="C106" s="92">
        <v>102</v>
      </c>
      <c r="E106" s="93">
        <f t="shared" si="7"/>
        <v>1030200</v>
      </c>
      <c r="F106" s="92">
        <v>102</v>
      </c>
    </row>
    <row r="107" spans="2:6" s="3" customFormat="1" ht="12.75" customHeight="1">
      <c r="B107" s="93">
        <f t="shared" si="6"/>
        <v>141525</v>
      </c>
      <c r="C107" s="92">
        <v>103</v>
      </c>
      <c r="E107" s="93">
        <f t="shared" si="7"/>
        <v>1050600</v>
      </c>
      <c r="F107" s="92">
        <v>103</v>
      </c>
    </row>
    <row r="108" spans="2:6" s="3" customFormat="1" ht="12.75" customHeight="1">
      <c r="B108" s="93">
        <f t="shared" si="6"/>
        <v>144200</v>
      </c>
      <c r="C108" s="92">
        <v>104</v>
      </c>
      <c r="E108" s="93">
        <f t="shared" si="7"/>
        <v>1071200</v>
      </c>
      <c r="F108" s="92">
        <v>104</v>
      </c>
    </row>
    <row r="109" spans="2:6" s="3" customFormat="1" ht="12.75" customHeight="1">
      <c r="B109" s="93">
        <f t="shared" si="6"/>
        <v>146900</v>
      </c>
      <c r="C109" s="92">
        <v>105</v>
      </c>
      <c r="E109" s="93">
        <f t="shared" si="7"/>
        <v>1092000</v>
      </c>
      <c r="F109" s="92">
        <v>105</v>
      </c>
    </row>
    <row r="110" spans="2:6" s="3" customFormat="1" ht="12.75" customHeight="1">
      <c r="B110" s="93">
        <f t="shared" si="6"/>
        <v>149625</v>
      </c>
      <c r="C110" s="92">
        <v>106</v>
      </c>
      <c r="E110" s="93">
        <f t="shared" si="7"/>
        <v>1113000</v>
      </c>
      <c r="F110" s="92">
        <v>106</v>
      </c>
    </row>
    <row r="111" spans="2:6" s="3" customFormat="1" ht="12.75" customHeight="1">
      <c r="B111" s="93">
        <f t="shared" si="6"/>
        <v>152375</v>
      </c>
      <c r="C111" s="92">
        <v>107</v>
      </c>
      <c r="E111" s="93">
        <f t="shared" si="7"/>
        <v>1134200</v>
      </c>
      <c r="F111" s="92">
        <v>107</v>
      </c>
    </row>
    <row r="112" spans="2:6" s="3" customFormat="1" ht="12.75" customHeight="1">
      <c r="B112" s="93">
        <f t="shared" si="6"/>
        <v>155150</v>
      </c>
      <c r="C112" s="92">
        <v>108</v>
      </c>
      <c r="E112" s="93">
        <f t="shared" si="7"/>
        <v>1155600</v>
      </c>
      <c r="F112" s="92">
        <v>108</v>
      </c>
    </row>
    <row r="113" spans="2:6" s="3" customFormat="1" ht="12.75" customHeight="1">
      <c r="B113" s="93">
        <f t="shared" si="6"/>
        <v>157950</v>
      </c>
      <c r="C113" s="92">
        <v>109</v>
      </c>
      <c r="E113" s="93">
        <f t="shared" si="7"/>
        <v>1177200</v>
      </c>
      <c r="F113" s="92">
        <v>109</v>
      </c>
    </row>
    <row r="114" spans="2:6" s="3" customFormat="1" ht="12.75" customHeight="1">
      <c r="B114" s="93">
        <f t="shared" si="6"/>
        <v>160775</v>
      </c>
      <c r="C114" s="92">
        <v>110</v>
      </c>
      <c r="E114" s="93">
        <f t="shared" si="7"/>
        <v>1199000</v>
      </c>
      <c r="F114" s="92">
        <v>110</v>
      </c>
    </row>
    <row r="115" spans="2:6" s="3" customFormat="1" ht="12.75" customHeight="1">
      <c r="B115" s="93">
        <f t="shared" si="6"/>
        <v>163625</v>
      </c>
      <c r="C115" s="92">
        <v>111</v>
      </c>
      <c r="E115" s="93">
        <f t="shared" si="7"/>
        <v>1221000</v>
      </c>
      <c r="F115" s="92">
        <v>111</v>
      </c>
    </row>
    <row r="116" spans="2:6" s="3" customFormat="1" ht="12.75" customHeight="1">
      <c r="B116" s="93">
        <f t="shared" si="6"/>
        <v>166500</v>
      </c>
      <c r="C116" s="92">
        <v>112</v>
      </c>
      <c r="E116" s="93">
        <f t="shared" si="7"/>
        <v>1243200</v>
      </c>
      <c r="F116" s="92">
        <v>112</v>
      </c>
    </row>
    <row r="117" spans="2:6" s="3" customFormat="1" ht="12.75" customHeight="1">
      <c r="B117" s="93">
        <f t="shared" si="6"/>
        <v>169400</v>
      </c>
      <c r="C117" s="92">
        <v>113</v>
      </c>
      <c r="E117" s="93">
        <f t="shared" si="7"/>
        <v>1265600</v>
      </c>
      <c r="F117" s="92">
        <v>113</v>
      </c>
    </row>
    <row r="118" spans="2:6" s="3" customFormat="1" ht="12.75" customHeight="1">
      <c r="B118" s="93">
        <f t="shared" si="6"/>
        <v>172325</v>
      </c>
      <c r="C118" s="92">
        <v>114</v>
      </c>
      <c r="E118" s="93">
        <f t="shared" si="7"/>
        <v>1288200</v>
      </c>
      <c r="F118" s="92">
        <v>114</v>
      </c>
    </row>
    <row r="119" spans="2:6" s="3" customFormat="1" ht="12.75" customHeight="1">
      <c r="B119" s="93">
        <f t="shared" si="6"/>
        <v>175275</v>
      </c>
      <c r="C119" s="92">
        <v>115</v>
      </c>
      <c r="E119" s="93">
        <f t="shared" si="7"/>
        <v>1311000</v>
      </c>
      <c r="F119" s="92">
        <v>115</v>
      </c>
    </row>
    <row r="120" spans="2:6" s="3" customFormat="1" ht="12.75" customHeight="1">
      <c r="B120" s="93">
        <f t="shared" si="6"/>
        <v>178250</v>
      </c>
      <c r="C120" s="92">
        <v>116</v>
      </c>
      <c r="E120" s="93">
        <f t="shared" si="7"/>
        <v>1334000</v>
      </c>
      <c r="F120" s="92">
        <v>116</v>
      </c>
    </row>
    <row r="121" spans="2:6" s="3" customFormat="1" ht="12.75" customHeight="1">
      <c r="B121" s="93">
        <f t="shared" si="6"/>
        <v>181250</v>
      </c>
      <c r="C121" s="92">
        <v>117</v>
      </c>
      <c r="E121" s="93">
        <f t="shared" si="7"/>
        <v>1357200</v>
      </c>
      <c r="F121" s="92">
        <v>117</v>
      </c>
    </row>
    <row r="122" spans="2:6" s="3" customFormat="1" ht="12.75" customHeight="1">
      <c r="B122" s="93">
        <f t="shared" si="6"/>
        <v>184275</v>
      </c>
      <c r="C122" s="92">
        <v>118</v>
      </c>
      <c r="E122" s="93">
        <f t="shared" si="7"/>
        <v>1380600</v>
      </c>
      <c r="F122" s="92">
        <v>118</v>
      </c>
    </row>
    <row r="123" spans="2:6" s="3" customFormat="1" ht="12.75" customHeight="1">
      <c r="B123" s="93">
        <f t="shared" si="6"/>
        <v>187325</v>
      </c>
      <c r="C123" s="92">
        <v>119</v>
      </c>
      <c r="E123" s="93">
        <f t="shared" si="7"/>
        <v>1404200</v>
      </c>
      <c r="F123" s="92">
        <v>119</v>
      </c>
    </row>
    <row r="124" spans="2:6" s="3" customFormat="1" ht="12.75" customHeight="1">
      <c r="B124" s="93">
        <f t="shared" si="6"/>
        <v>190400</v>
      </c>
      <c r="C124" s="92">
        <v>120</v>
      </c>
      <c r="E124" s="93">
        <f t="shared" si="7"/>
        <v>1428000</v>
      </c>
      <c r="F124" s="92">
        <v>120</v>
      </c>
    </row>
    <row r="125" spans="2:6" s="3" customFormat="1" ht="12.75" customHeight="1">
      <c r="B125" s="93">
        <f t="shared" si="6"/>
        <v>193500</v>
      </c>
      <c r="C125" s="92">
        <v>121</v>
      </c>
      <c r="E125" s="93">
        <f t="shared" si="7"/>
        <v>1452000</v>
      </c>
      <c r="F125" s="92">
        <v>121</v>
      </c>
    </row>
    <row r="126" spans="2:6" s="3" customFormat="1" ht="12.75" customHeight="1">
      <c r="B126" s="93">
        <f t="shared" si="6"/>
        <v>196625</v>
      </c>
      <c r="C126" s="92">
        <v>122</v>
      </c>
      <c r="E126" s="93">
        <f t="shared" si="7"/>
        <v>1476200</v>
      </c>
      <c r="F126" s="92">
        <v>122</v>
      </c>
    </row>
    <row r="127" spans="2:6" s="3" customFormat="1" ht="12.75" customHeight="1">
      <c r="B127" s="93">
        <f t="shared" si="6"/>
        <v>199775</v>
      </c>
      <c r="C127" s="92">
        <v>123</v>
      </c>
      <c r="E127" s="93">
        <f t="shared" si="7"/>
        <v>1500600</v>
      </c>
      <c r="F127" s="92">
        <v>123</v>
      </c>
    </row>
    <row r="128" spans="2:6" s="3" customFormat="1" ht="12.75" customHeight="1">
      <c r="B128" s="93">
        <f t="shared" si="6"/>
        <v>202950</v>
      </c>
      <c r="C128" s="92">
        <v>124</v>
      </c>
      <c r="E128" s="93">
        <f t="shared" si="7"/>
        <v>1525200</v>
      </c>
      <c r="F128" s="92">
        <v>124</v>
      </c>
    </row>
    <row r="129" spans="2:6" s="3" customFormat="1" ht="12.75" customHeight="1">
      <c r="B129" s="93">
        <f t="shared" si="6"/>
        <v>206150</v>
      </c>
      <c r="C129" s="92">
        <v>125</v>
      </c>
      <c r="E129" s="93">
        <f t="shared" si="7"/>
        <v>1550000</v>
      </c>
      <c r="F129" s="92">
        <v>125</v>
      </c>
    </row>
    <row r="130" spans="2:6" s="3" customFormat="1" ht="12.75" customHeight="1">
      <c r="B130" s="93">
        <f t="shared" si="6"/>
        <v>209375</v>
      </c>
      <c r="C130" s="92">
        <v>126</v>
      </c>
      <c r="E130" s="93">
        <f t="shared" si="7"/>
        <v>1575000</v>
      </c>
      <c r="F130" s="92">
        <v>126</v>
      </c>
    </row>
    <row r="131" spans="2:6" s="3" customFormat="1" ht="12.75" customHeight="1">
      <c r="B131" s="93">
        <f t="shared" si="6"/>
        <v>212625</v>
      </c>
      <c r="C131" s="92">
        <v>127</v>
      </c>
      <c r="E131" s="93">
        <f t="shared" si="7"/>
        <v>1600200</v>
      </c>
      <c r="F131" s="92">
        <v>127</v>
      </c>
    </row>
    <row r="132" spans="2:6" s="3" customFormat="1" ht="12.75" customHeight="1">
      <c r="B132" s="93">
        <f t="shared" si="6"/>
        <v>215900</v>
      </c>
      <c r="C132" s="92">
        <v>128</v>
      </c>
      <c r="E132" s="93">
        <f t="shared" si="7"/>
        <v>1625600</v>
      </c>
      <c r="F132" s="92">
        <v>128</v>
      </c>
    </row>
    <row r="133" spans="2:6" s="3" customFormat="1" ht="12.75" customHeight="1">
      <c r="B133" s="93">
        <f t="shared" si="6"/>
        <v>219200</v>
      </c>
      <c r="C133" s="92">
        <v>129</v>
      </c>
      <c r="E133" s="93">
        <f t="shared" si="7"/>
        <v>1651200</v>
      </c>
      <c r="F133" s="92">
        <v>129</v>
      </c>
    </row>
    <row r="134" spans="2:6" s="3" customFormat="1" ht="12.75" customHeight="1">
      <c r="B134" s="93">
        <f t="shared" si="6"/>
        <v>222525</v>
      </c>
      <c r="C134" s="92">
        <v>130</v>
      </c>
      <c r="E134" s="93">
        <f t="shared" si="7"/>
        <v>1677000</v>
      </c>
      <c r="F134" s="92">
        <v>130</v>
      </c>
    </row>
    <row r="135" spans="2:6" s="3" customFormat="1" ht="12.75" customHeight="1">
      <c r="B135" s="93">
        <f aca="true" t="shared" si="8" ref="B135:B166">(B134-B133)+25+B134</f>
        <v>225875</v>
      </c>
      <c r="C135" s="92">
        <v>131</v>
      </c>
      <c r="E135" s="93">
        <f aca="true" t="shared" si="9" ref="E135:E166">(E134-E133)+200+E134</f>
        <v>1703000</v>
      </c>
      <c r="F135" s="92">
        <v>131</v>
      </c>
    </row>
    <row r="136" spans="2:6" ht="12.75" customHeight="1">
      <c r="B136" s="93">
        <f t="shared" si="8"/>
        <v>229250</v>
      </c>
      <c r="C136" s="92">
        <v>132</v>
      </c>
      <c r="E136" s="93">
        <f t="shared" si="9"/>
        <v>1729200</v>
      </c>
      <c r="F136" s="92">
        <v>132</v>
      </c>
    </row>
    <row r="137" spans="2:6" ht="12.75" customHeight="1">
      <c r="B137" s="93">
        <f t="shared" si="8"/>
        <v>232650</v>
      </c>
      <c r="C137" s="92">
        <v>133</v>
      </c>
      <c r="E137" s="93">
        <f t="shared" si="9"/>
        <v>1755600</v>
      </c>
      <c r="F137" s="92">
        <v>133</v>
      </c>
    </row>
    <row r="138" spans="2:6" ht="12.75" customHeight="1">
      <c r="B138" s="93">
        <f t="shared" si="8"/>
        <v>236075</v>
      </c>
      <c r="C138" s="92">
        <v>134</v>
      </c>
      <c r="E138" s="93">
        <f t="shared" si="9"/>
        <v>1782200</v>
      </c>
      <c r="F138" s="92">
        <v>134</v>
      </c>
    </row>
    <row r="139" spans="2:6" ht="12.75" customHeight="1">
      <c r="B139" s="93">
        <f t="shared" si="8"/>
        <v>239525</v>
      </c>
      <c r="C139" s="92">
        <v>135</v>
      </c>
      <c r="E139" s="93">
        <f t="shared" si="9"/>
        <v>1809000</v>
      </c>
      <c r="F139" s="92">
        <v>135</v>
      </c>
    </row>
    <row r="140" spans="2:6" ht="12.75" customHeight="1">
      <c r="B140" s="93">
        <f t="shared" si="8"/>
        <v>243000</v>
      </c>
      <c r="C140" s="92">
        <v>136</v>
      </c>
      <c r="E140" s="93">
        <f t="shared" si="9"/>
        <v>1836000</v>
      </c>
      <c r="F140" s="92">
        <v>136</v>
      </c>
    </row>
    <row r="141" spans="2:6" ht="12.75" customHeight="1">
      <c r="B141" s="93">
        <f t="shared" si="8"/>
        <v>246500</v>
      </c>
      <c r="C141" s="92">
        <v>137</v>
      </c>
      <c r="E141" s="93">
        <f t="shared" si="9"/>
        <v>1863200</v>
      </c>
      <c r="F141" s="92">
        <v>137</v>
      </c>
    </row>
    <row r="142" spans="2:6" ht="12.75" customHeight="1">
      <c r="B142" s="93">
        <f t="shared" si="8"/>
        <v>250025</v>
      </c>
      <c r="C142" s="92">
        <v>138</v>
      </c>
      <c r="E142" s="93">
        <f t="shared" si="9"/>
        <v>1890600</v>
      </c>
      <c r="F142" s="92">
        <v>138</v>
      </c>
    </row>
    <row r="143" spans="2:6" ht="12.75" customHeight="1">
      <c r="B143" s="93">
        <f t="shared" si="8"/>
        <v>253575</v>
      </c>
      <c r="C143" s="92">
        <v>139</v>
      </c>
      <c r="E143" s="93">
        <f t="shared" si="9"/>
        <v>1918200</v>
      </c>
      <c r="F143" s="92">
        <v>139</v>
      </c>
    </row>
    <row r="144" spans="2:6" ht="12.75" customHeight="1">
      <c r="B144" s="93">
        <f t="shared" si="8"/>
        <v>257150</v>
      </c>
      <c r="C144" s="92">
        <v>140</v>
      </c>
      <c r="E144" s="93">
        <f t="shared" si="9"/>
        <v>1946000</v>
      </c>
      <c r="F144" s="92">
        <v>140</v>
      </c>
    </row>
    <row r="145" spans="2:6" ht="12.75" customHeight="1">
      <c r="B145" s="93">
        <f t="shared" si="8"/>
        <v>260750</v>
      </c>
      <c r="C145" s="92">
        <v>141</v>
      </c>
      <c r="E145" s="93">
        <f t="shared" si="9"/>
        <v>1974000</v>
      </c>
      <c r="F145" s="92">
        <v>141</v>
      </c>
    </row>
    <row r="146" spans="2:6" ht="12.75" customHeight="1">
      <c r="B146" s="93">
        <f t="shared" si="8"/>
        <v>264375</v>
      </c>
      <c r="C146" s="92">
        <v>142</v>
      </c>
      <c r="E146" s="93">
        <f t="shared" si="9"/>
        <v>2002200</v>
      </c>
      <c r="F146" s="92">
        <v>142</v>
      </c>
    </row>
    <row r="147" spans="2:6" ht="12.75" customHeight="1">
      <c r="B147" s="93">
        <f t="shared" si="8"/>
        <v>268025</v>
      </c>
      <c r="C147" s="92">
        <v>143</v>
      </c>
      <c r="E147" s="93">
        <f t="shared" si="9"/>
        <v>2030600</v>
      </c>
      <c r="F147" s="92">
        <v>143</v>
      </c>
    </row>
    <row r="148" spans="2:6" ht="12.75" customHeight="1">
      <c r="B148" s="93">
        <f t="shared" si="8"/>
        <v>271700</v>
      </c>
      <c r="C148" s="92">
        <v>144</v>
      </c>
      <c r="E148" s="93">
        <f t="shared" si="9"/>
        <v>2059200</v>
      </c>
      <c r="F148" s="92">
        <v>144</v>
      </c>
    </row>
    <row r="149" spans="2:6" ht="12.75" customHeight="1">
      <c r="B149" s="93">
        <f t="shared" si="8"/>
        <v>275400</v>
      </c>
      <c r="C149" s="92">
        <v>145</v>
      </c>
      <c r="E149" s="93">
        <f t="shared" si="9"/>
        <v>2088000</v>
      </c>
      <c r="F149" s="92">
        <v>145</v>
      </c>
    </row>
    <row r="150" spans="2:6" ht="12.75" customHeight="1">
      <c r="B150" s="93">
        <f t="shared" si="8"/>
        <v>279125</v>
      </c>
      <c r="C150" s="92">
        <v>146</v>
      </c>
      <c r="E150" s="93">
        <f t="shared" si="9"/>
        <v>2117000</v>
      </c>
      <c r="F150" s="92">
        <v>146</v>
      </c>
    </row>
    <row r="151" spans="2:6" ht="12.75" customHeight="1">
      <c r="B151" s="93">
        <f t="shared" si="8"/>
        <v>282875</v>
      </c>
      <c r="C151" s="92">
        <v>147</v>
      </c>
      <c r="E151" s="93">
        <f t="shared" si="9"/>
        <v>2146200</v>
      </c>
      <c r="F151" s="92">
        <v>147</v>
      </c>
    </row>
    <row r="152" spans="2:6" ht="12.75" customHeight="1">
      <c r="B152" s="93">
        <f t="shared" si="8"/>
        <v>286650</v>
      </c>
      <c r="C152" s="92">
        <v>148</v>
      </c>
      <c r="E152" s="93">
        <f t="shared" si="9"/>
        <v>2175600</v>
      </c>
      <c r="F152" s="92">
        <v>148</v>
      </c>
    </row>
    <row r="153" spans="2:6" ht="12.75" customHeight="1">
      <c r="B153" s="93">
        <f t="shared" si="8"/>
        <v>290450</v>
      </c>
      <c r="C153" s="92">
        <v>149</v>
      </c>
      <c r="E153" s="93">
        <f t="shared" si="9"/>
        <v>2205200</v>
      </c>
      <c r="F153" s="92">
        <v>149</v>
      </c>
    </row>
    <row r="154" spans="2:6" ht="12.75" customHeight="1">
      <c r="B154" s="93">
        <f t="shared" si="8"/>
        <v>294275</v>
      </c>
      <c r="C154" s="92">
        <v>150</v>
      </c>
      <c r="E154" s="93">
        <f t="shared" si="9"/>
        <v>2235000</v>
      </c>
      <c r="F154" s="92">
        <v>150</v>
      </c>
    </row>
    <row r="155" spans="2:6" ht="12.75" customHeight="1">
      <c r="B155" s="93">
        <f t="shared" si="8"/>
        <v>298125</v>
      </c>
      <c r="C155" s="92">
        <v>151</v>
      </c>
      <c r="E155" s="93">
        <f t="shared" si="9"/>
        <v>2265000</v>
      </c>
      <c r="F155" s="92">
        <v>151</v>
      </c>
    </row>
    <row r="156" spans="2:6" ht="12.75" customHeight="1">
      <c r="B156" s="93">
        <f t="shared" si="8"/>
        <v>302000</v>
      </c>
      <c r="C156" s="92">
        <v>152</v>
      </c>
      <c r="E156" s="93">
        <f t="shared" si="9"/>
        <v>2295200</v>
      </c>
      <c r="F156" s="92">
        <v>152</v>
      </c>
    </row>
    <row r="157" spans="2:6" ht="12.75" customHeight="1">
      <c r="B157" s="93">
        <f t="shared" si="8"/>
        <v>305900</v>
      </c>
      <c r="C157" s="92">
        <v>153</v>
      </c>
      <c r="E157" s="93">
        <f t="shared" si="9"/>
        <v>2325600</v>
      </c>
      <c r="F157" s="92">
        <v>153</v>
      </c>
    </row>
    <row r="158" spans="2:6" ht="12.75" customHeight="1">
      <c r="B158" s="93">
        <f t="shared" si="8"/>
        <v>309825</v>
      </c>
      <c r="C158" s="92">
        <v>154</v>
      </c>
      <c r="E158" s="93">
        <f t="shared" si="9"/>
        <v>2356200</v>
      </c>
      <c r="F158" s="92">
        <v>154</v>
      </c>
    </row>
    <row r="159" spans="2:6" ht="12.75" customHeight="1">
      <c r="B159" s="93">
        <f t="shared" si="8"/>
        <v>313775</v>
      </c>
      <c r="C159" s="92">
        <v>155</v>
      </c>
      <c r="E159" s="93">
        <f t="shared" si="9"/>
        <v>2387000</v>
      </c>
      <c r="F159" s="92">
        <v>155</v>
      </c>
    </row>
    <row r="160" spans="2:6" ht="12.75" customHeight="1">
      <c r="B160" s="93">
        <f t="shared" si="8"/>
        <v>317750</v>
      </c>
      <c r="C160" s="92">
        <v>156</v>
      </c>
      <c r="E160" s="93">
        <f t="shared" si="9"/>
        <v>2418000</v>
      </c>
      <c r="F160" s="92">
        <v>156</v>
      </c>
    </row>
    <row r="161" spans="2:6" ht="12.75" customHeight="1">
      <c r="B161" s="93">
        <f t="shared" si="8"/>
        <v>321750</v>
      </c>
      <c r="C161" s="92">
        <v>157</v>
      </c>
      <c r="E161" s="93">
        <f t="shared" si="9"/>
        <v>2449200</v>
      </c>
      <c r="F161" s="92">
        <v>157</v>
      </c>
    </row>
    <row r="162" spans="2:6" ht="12.75" customHeight="1">
      <c r="B162" s="93">
        <f t="shared" si="8"/>
        <v>325775</v>
      </c>
      <c r="C162" s="92">
        <v>158</v>
      </c>
      <c r="E162" s="93">
        <f t="shared" si="9"/>
        <v>2480600</v>
      </c>
      <c r="F162" s="92">
        <v>158</v>
      </c>
    </row>
    <row r="163" spans="2:6" ht="12.75" customHeight="1">
      <c r="B163" s="93">
        <f t="shared" si="8"/>
        <v>329825</v>
      </c>
      <c r="C163" s="92">
        <v>159</v>
      </c>
      <c r="E163" s="93">
        <f t="shared" si="9"/>
        <v>2512200</v>
      </c>
      <c r="F163" s="92">
        <v>159</v>
      </c>
    </row>
    <row r="164" spans="2:6" ht="12.75" customHeight="1">
      <c r="B164" s="93">
        <f t="shared" si="8"/>
        <v>333900</v>
      </c>
      <c r="C164" s="92">
        <v>160</v>
      </c>
      <c r="E164" s="93">
        <f t="shared" si="9"/>
        <v>2544000</v>
      </c>
      <c r="F164" s="92">
        <v>160</v>
      </c>
    </row>
    <row r="165" spans="2:6" ht="12.75" customHeight="1">
      <c r="B165" s="93">
        <f t="shared" si="8"/>
        <v>338000</v>
      </c>
      <c r="C165" s="92">
        <v>161</v>
      </c>
      <c r="E165" s="93">
        <f t="shared" si="9"/>
        <v>2576000</v>
      </c>
      <c r="F165" s="92">
        <v>161</v>
      </c>
    </row>
    <row r="166" spans="2:6" ht="12.75" customHeight="1">
      <c r="B166" s="93">
        <f t="shared" si="8"/>
        <v>342125</v>
      </c>
      <c r="C166" s="92">
        <v>162</v>
      </c>
      <c r="E166" s="93">
        <f t="shared" si="9"/>
        <v>2608200</v>
      </c>
      <c r="F166" s="92">
        <v>162</v>
      </c>
    </row>
    <row r="167" spans="2:6" ht="12.75" customHeight="1">
      <c r="B167" s="93">
        <f aca="true" t="shared" si="10" ref="B167:B198">(B166-B165)+25+B166</f>
        <v>346275</v>
      </c>
      <c r="C167" s="92">
        <v>163</v>
      </c>
      <c r="E167" s="93">
        <f aca="true" t="shared" si="11" ref="E167:E198">(E166-E165)+200+E166</f>
        <v>2640600</v>
      </c>
      <c r="F167" s="92">
        <v>163</v>
      </c>
    </row>
    <row r="168" spans="2:6" ht="12.75" customHeight="1">
      <c r="B168" s="93">
        <f t="shared" si="10"/>
        <v>350450</v>
      </c>
      <c r="C168" s="92">
        <v>164</v>
      </c>
      <c r="E168" s="93">
        <f t="shared" si="11"/>
        <v>2673200</v>
      </c>
      <c r="F168" s="92">
        <v>164</v>
      </c>
    </row>
    <row r="169" spans="2:6" ht="12.75" customHeight="1">
      <c r="B169" s="93">
        <f t="shared" si="10"/>
        <v>354650</v>
      </c>
      <c r="C169" s="92">
        <v>165</v>
      </c>
      <c r="E169" s="93">
        <f t="shared" si="11"/>
        <v>2706000</v>
      </c>
      <c r="F169" s="92">
        <v>165</v>
      </c>
    </row>
    <row r="170" spans="2:6" ht="12.75" customHeight="1">
      <c r="B170" s="93">
        <f t="shared" si="10"/>
        <v>358875</v>
      </c>
      <c r="C170" s="92">
        <v>166</v>
      </c>
      <c r="E170" s="93">
        <f t="shared" si="11"/>
        <v>2739000</v>
      </c>
      <c r="F170" s="92">
        <v>166</v>
      </c>
    </row>
    <row r="171" spans="2:6" ht="12.75" customHeight="1">
      <c r="B171" s="93">
        <f t="shared" si="10"/>
        <v>363125</v>
      </c>
      <c r="C171" s="92">
        <v>167</v>
      </c>
      <c r="E171" s="93">
        <f t="shared" si="11"/>
        <v>2772200</v>
      </c>
      <c r="F171" s="92">
        <v>167</v>
      </c>
    </row>
    <row r="172" spans="2:6" ht="12.75" customHeight="1">
      <c r="B172" s="93">
        <f t="shared" si="10"/>
        <v>367400</v>
      </c>
      <c r="C172" s="92">
        <v>168</v>
      </c>
      <c r="E172" s="93">
        <f t="shared" si="11"/>
        <v>2805600</v>
      </c>
      <c r="F172" s="92">
        <v>168</v>
      </c>
    </row>
    <row r="173" spans="2:6" ht="12.75" customHeight="1">
      <c r="B173" s="93">
        <f t="shared" si="10"/>
        <v>371700</v>
      </c>
      <c r="C173" s="92">
        <v>169</v>
      </c>
      <c r="E173" s="93">
        <f t="shared" si="11"/>
        <v>2839200</v>
      </c>
      <c r="F173" s="92">
        <v>169</v>
      </c>
    </row>
    <row r="174" spans="2:6" ht="12.75" customHeight="1">
      <c r="B174" s="93">
        <f t="shared" si="10"/>
        <v>376025</v>
      </c>
      <c r="C174" s="92">
        <v>170</v>
      </c>
      <c r="E174" s="93">
        <f t="shared" si="11"/>
        <v>2873000</v>
      </c>
      <c r="F174" s="92">
        <v>170</v>
      </c>
    </row>
    <row r="175" spans="2:6" ht="12.75" customHeight="1">
      <c r="B175" s="93">
        <f t="shared" si="10"/>
        <v>380375</v>
      </c>
      <c r="C175" s="92">
        <v>171</v>
      </c>
      <c r="E175" s="93">
        <f t="shared" si="11"/>
        <v>2907000</v>
      </c>
      <c r="F175" s="92">
        <v>171</v>
      </c>
    </row>
    <row r="176" spans="2:6" ht="12.75" customHeight="1">
      <c r="B176" s="93">
        <f t="shared" si="10"/>
        <v>384750</v>
      </c>
      <c r="C176" s="92">
        <v>172</v>
      </c>
      <c r="E176" s="93">
        <f t="shared" si="11"/>
        <v>2941200</v>
      </c>
      <c r="F176" s="92">
        <v>172</v>
      </c>
    </row>
    <row r="177" spans="2:6" ht="12.75" customHeight="1">
      <c r="B177" s="93">
        <f t="shared" si="10"/>
        <v>389150</v>
      </c>
      <c r="C177" s="92">
        <v>173</v>
      </c>
      <c r="E177" s="93">
        <f t="shared" si="11"/>
        <v>2975600</v>
      </c>
      <c r="F177" s="92">
        <v>173</v>
      </c>
    </row>
    <row r="178" spans="2:6" ht="12.75" customHeight="1">
      <c r="B178" s="93">
        <f t="shared" si="10"/>
        <v>393575</v>
      </c>
      <c r="C178" s="92">
        <v>174</v>
      </c>
      <c r="E178" s="93">
        <f t="shared" si="11"/>
        <v>3010200</v>
      </c>
      <c r="F178" s="92">
        <v>174</v>
      </c>
    </row>
    <row r="179" spans="2:6" ht="12.75" customHeight="1">
      <c r="B179" s="93">
        <f t="shared" si="10"/>
        <v>398025</v>
      </c>
      <c r="C179" s="92">
        <v>175</v>
      </c>
      <c r="E179" s="93">
        <f t="shared" si="11"/>
        <v>3045000</v>
      </c>
      <c r="F179" s="92">
        <v>175</v>
      </c>
    </row>
    <row r="180" spans="2:6" ht="12.75" customHeight="1">
      <c r="B180" s="93">
        <f t="shared" si="10"/>
        <v>402500</v>
      </c>
      <c r="C180" s="92">
        <v>176</v>
      </c>
      <c r="E180" s="93">
        <f t="shared" si="11"/>
        <v>3080000</v>
      </c>
      <c r="F180" s="92">
        <v>176</v>
      </c>
    </row>
    <row r="181" spans="2:6" ht="12.75" customHeight="1">
      <c r="B181" s="93">
        <f t="shared" si="10"/>
        <v>407000</v>
      </c>
      <c r="C181" s="92">
        <v>177</v>
      </c>
      <c r="E181" s="93">
        <f t="shared" si="11"/>
        <v>3115200</v>
      </c>
      <c r="F181" s="92">
        <v>177</v>
      </c>
    </row>
    <row r="182" spans="2:6" ht="12.75" customHeight="1">
      <c r="B182" s="93">
        <f t="shared" si="10"/>
        <v>411525</v>
      </c>
      <c r="C182" s="92">
        <v>178</v>
      </c>
      <c r="E182" s="93">
        <f t="shared" si="11"/>
        <v>3150600</v>
      </c>
      <c r="F182" s="92">
        <v>178</v>
      </c>
    </row>
    <row r="183" spans="2:6" ht="12.75" customHeight="1">
      <c r="B183" s="93">
        <f t="shared" si="10"/>
        <v>416075</v>
      </c>
      <c r="C183" s="92">
        <v>179</v>
      </c>
      <c r="E183" s="93">
        <f t="shared" si="11"/>
        <v>3186200</v>
      </c>
      <c r="F183" s="92">
        <v>179</v>
      </c>
    </row>
    <row r="184" spans="2:6" ht="12.75" customHeight="1">
      <c r="B184" s="93">
        <f t="shared" si="10"/>
        <v>420650</v>
      </c>
      <c r="C184" s="92">
        <v>180</v>
      </c>
      <c r="E184" s="93">
        <f t="shared" si="11"/>
        <v>3222000</v>
      </c>
      <c r="F184" s="92">
        <v>180</v>
      </c>
    </row>
    <row r="185" spans="2:6" ht="12.75" customHeight="1">
      <c r="B185" s="93">
        <f t="shared" si="10"/>
        <v>425250</v>
      </c>
      <c r="C185" s="92">
        <v>181</v>
      </c>
      <c r="E185" s="93">
        <f t="shared" si="11"/>
        <v>3258000</v>
      </c>
      <c r="F185" s="92">
        <v>181</v>
      </c>
    </row>
    <row r="186" spans="2:6" ht="12.75" customHeight="1">
      <c r="B186" s="93">
        <f t="shared" si="10"/>
        <v>429875</v>
      </c>
      <c r="C186" s="92">
        <v>182</v>
      </c>
      <c r="E186" s="93">
        <f t="shared" si="11"/>
        <v>3294200</v>
      </c>
      <c r="F186" s="92">
        <v>182</v>
      </c>
    </row>
    <row r="187" spans="2:6" ht="12.75" customHeight="1">
      <c r="B187" s="93">
        <f t="shared" si="10"/>
        <v>434525</v>
      </c>
      <c r="C187" s="92">
        <v>183</v>
      </c>
      <c r="E187" s="93">
        <f t="shared" si="11"/>
        <v>3330600</v>
      </c>
      <c r="F187" s="92">
        <v>183</v>
      </c>
    </row>
    <row r="188" spans="2:6" ht="12.75" customHeight="1">
      <c r="B188" s="93">
        <f t="shared" si="10"/>
        <v>439200</v>
      </c>
      <c r="C188" s="92">
        <v>184</v>
      </c>
      <c r="E188" s="93">
        <f t="shared" si="11"/>
        <v>3367200</v>
      </c>
      <c r="F188" s="92">
        <v>184</v>
      </c>
    </row>
    <row r="189" spans="2:6" ht="12.75" customHeight="1">
      <c r="B189" s="93">
        <f t="shared" si="10"/>
        <v>443900</v>
      </c>
      <c r="C189" s="92">
        <v>185</v>
      </c>
      <c r="E189" s="93">
        <f t="shared" si="11"/>
        <v>3404000</v>
      </c>
      <c r="F189" s="92">
        <v>185</v>
      </c>
    </row>
    <row r="190" spans="2:6" ht="12.75" customHeight="1">
      <c r="B190" s="93">
        <f t="shared" si="10"/>
        <v>448625</v>
      </c>
      <c r="C190" s="92">
        <v>186</v>
      </c>
      <c r="E190" s="93">
        <f t="shared" si="11"/>
        <v>3441000</v>
      </c>
      <c r="F190" s="92">
        <v>186</v>
      </c>
    </row>
    <row r="191" spans="2:6" ht="12.75" customHeight="1">
      <c r="B191" s="93">
        <f t="shared" si="10"/>
        <v>453375</v>
      </c>
      <c r="C191" s="92">
        <v>187</v>
      </c>
      <c r="E191" s="93">
        <f t="shared" si="11"/>
        <v>3478200</v>
      </c>
      <c r="F191" s="92">
        <v>187</v>
      </c>
    </row>
    <row r="192" spans="2:6" ht="12.75" customHeight="1">
      <c r="B192" s="93">
        <f t="shared" si="10"/>
        <v>458150</v>
      </c>
      <c r="C192" s="92">
        <v>188</v>
      </c>
      <c r="E192" s="93">
        <f t="shared" si="11"/>
        <v>3515600</v>
      </c>
      <c r="F192" s="92">
        <v>188</v>
      </c>
    </row>
    <row r="193" spans="2:6" ht="12.75" customHeight="1">
      <c r="B193" s="93">
        <f t="shared" si="10"/>
        <v>462950</v>
      </c>
      <c r="C193" s="92">
        <v>189</v>
      </c>
      <c r="E193" s="93">
        <f t="shared" si="11"/>
        <v>3553200</v>
      </c>
      <c r="F193" s="92">
        <v>189</v>
      </c>
    </row>
    <row r="194" spans="2:6" ht="12.75" customHeight="1">
      <c r="B194" s="93">
        <f t="shared" si="10"/>
        <v>467775</v>
      </c>
      <c r="C194" s="92">
        <v>190</v>
      </c>
      <c r="E194" s="93">
        <f t="shared" si="11"/>
        <v>3591000</v>
      </c>
      <c r="F194" s="92">
        <v>190</v>
      </c>
    </row>
    <row r="195" spans="2:6" ht="12.75" customHeight="1">
      <c r="B195" s="93">
        <f t="shared" si="10"/>
        <v>472625</v>
      </c>
      <c r="C195" s="92">
        <v>191</v>
      </c>
      <c r="E195" s="93">
        <f t="shared" si="11"/>
        <v>3629000</v>
      </c>
      <c r="F195" s="92">
        <v>191</v>
      </c>
    </row>
    <row r="196" spans="2:6" ht="12.75" customHeight="1">
      <c r="B196" s="93">
        <f t="shared" si="10"/>
        <v>477500</v>
      </c>
      <c r="C196" s="92">
        <v>192</v>
      </c>
      <c r="E196" s="93">
        <f t="shared" si="11"/>
        <v>3667200</v>
      </c>
      <c r="F196" s="92">
        <v>192</v>
      </c>
    </row>
    <row r="197" spans="2:6" ht="12.75" customHeight="1">
      <c r="B197" s="93">
        <f t="shared" si="10"/>
        <v>482400</v>
      </c>
      <c r="C197" s="92">
        <v>193</v>
      </c>
      <c r="E197" s="93">
        <f t="shared" si="11"/>
        <v>3705600</v>
      </c>
      <c r="F197" s="92">
        <v>193</v>
      </c>
    </row>
    <row r="198" spans="2:6" ht="12.75" customHeight="1">
      <c r="B198" s="93">
        <f t="shared" si="10"/>
        <v>487325</v>
      </c>
      <c r="C198" s="92">
        <v>194</v>
      </c>
      <c r="E198" s="93">
        <f t="shared" si="11"/>
        <v>3744200</v>
      </c>
      <c r="F198" s="92">
        <v>194</v>
      </c>
    </row>
    <row r="199" spans="2:6" ht="12.75" customHeight="1">
      <c r="B199" s="93">
        <f aca="true" t="shared" si="12" ref="B199:B204">(B198-B197)+25+B198</f>
        <v>492275</v>
      </c>
      <c r="C199" s="92">
        <v>195</v>
      </c>
      <c r="E199" s="93">
        <f aca="true" t="shared" si="13" ref="E199:E204">(E198-E197)+200+E198</f>
        <v>3783000</v>
      </c>
      <c r="F199" s="92">
        <v>195</v>
      </c>
    </row>
    <row r="200" spans="2:6" ht="12.75" customHeight="1">
      <c r="B200" s="93">
        <f t="shared" si="12"/>
        <v>497250</v>
      </c>
      <c r="C200" s="92">
        <v>196</v>
      </c>
      <c r="E200" s="93">
        <f t="shared" si="13"/>
        <v>3822000</v>
      </c>
      <c r="F200" s="92">
        <v>196</v>
      </c>
    </row>
    <row r="201" spans="2:6" ht="12.75" customHeight="1">
      <c r="B201" s="93">
        <f t="shared" si="12"/>
        <v>502250</v>
      </c>
      <c r="C201" s="92">
        <v>197</v>
      </c>
      <c r="E201" s="93">
        <f t="shared" si="13"/>
        <v>3861200</v>
      </c>
      <c r="F201" s="92">
        <v>197</v>
      </c>
    </row>
    <row r="202" spans="2:6" ht="12.75" customHeight="1">
      <c r="B202" s="93">
        <f t="shared" si="12"/>
        <v>507275</v>
      </c>
      <c r="C202" s="92">
        <v>198</v>
      </c>
      <c r="E202" s="93">
        <f t="shared" si="13"/>
        <v>3900600</v>
      </c>
      <c r="F202" s="92">
        <v>198</v>
      </c>
    </row>
    <row r="203" spans="2:6" ht="12.75" customHeight="1">
      <c r="B203" s="93">
        <f t="shared" si="12"/>
        <v>512325</v>
      </c>
      <c r="C203" s="92">
        <v>199</v>
      </c>
      <c r="E203" s="93">
        <f t="shared" si="13"/>
        <v>3940200</v>
      </c>
      <c r="F203" s="92">
        <v>199</v>
      </c>
    </row>
    <row r="204" spans="2:6" ht="12.75" customHeight="1" thickBot="1">
      <c r="B204" s="97">
        <f t="shared" si="12"/>
        <v>517400</v>
      </c>
      <c r="C204" s="98">
        <v>200</v>
      </c>
      <c r="E204" s="97">
        <f t="shared" si="13"/>
        <v>3980000</v>
      </c>
      <c r="F204" s="98">
        <v>200</v>
      </c>
    </row>
    <row r="205" spans="4:5" ht="12.75" customHeight="1">
      <c r="D205" s="2"/>
      <c r="E205" s="12"/>
    </row>
    <row r="206" ht="12.75" customHeight="1">
      <c r="E206" s="2"/>
    </row>
  </sheetData>
  <sheetProtection password="8E0B" sheet="1" objects="1" scenarios="1"/>
  <mergeCells count="1">
    <mergeCell ref="F2:I2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Medivh</Manager>
  <Company>thedarkportal</Company>
  <HyperlinkBase>www.thedarkportal.de.vu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Krieger-Charakterblatt</dc:title>
  <dc:subject>RDW</dc:subject>
  <dc:creator>Tyralion</dc:creator>
  <cp:keywords>Ruf des Warlock</cp:keywords>
  <dc:description>Diese Arbeitsmappe steht zur freien Verfügung und kann nach belieben geändert werden.</dc:description>
  <cp:lastModifiedBy>Jan</cp:lastModifiedBy>
  <cp:lastPrinted>2012-04-06T11:10:13Z</cp:lastPrinted>
  <dcterms:created xsi:type="dcterms:W3CDTF">1999-11-22T16:48:50Z</dcterms:created>
  <dcterms:modified xsi:type="dcterms:W3CDTF">2015-05-01T08:03:44Z</dcterms:modified>
  <cp:category>Rollenspiel</cp:category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bschlussdatum">
    <vt:filetime>2005-03-28T22:00:00Z</vt:filetime>
  </property>
  <property fmtid="{D5CDD505-2E9C-101B-9397-08002B2CF9AE}" pid="3" name="Bearbeitet von">
    <vt:lpwstr>Tyralion</vt:lpwstr>
  </property>
  <property fmtid="{D5CDD505-2E9C-101B-9397-08002B2CF9AE}" pid="4" name="Erstellt von">
    <vt:lpwstr>Tyralion</vt:lpwstr>
  </property>
  <property fmtid="{D5CDD505-2E9C-101B-9397-08002B2CF9AE}" pid="5" name="Kontrolliert von">
    <vt:lpwstr>Medivh</vt:lpwstr>
  </property>
</Properties>
</file>