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Charakter" sheetId="1" r:id="rId1"/>
    <sheet name="Fertigkeiten" sheetId="2" r:id="rId2"/>
    <sheet name="Ausrüstung" sheetId="3" r:id="rId3"/>
    <sheet name="Ver.Werte" sheetId="4" r:id="rId4"/>
    <sheet name="Formeln" sheetId="5" r:id="rId5"/>
    <sheet name="Stufentabelle" sheetId="6" r:id="rId6"/>
  </sheets>
  <definedNames>
    <definedName name="AUSD">'Charakter'!$E$18</definedName>
    <definedName name="AUSS">'Charakter'!$E$14</definedName>
    <definedName name="AW_1">'Charakter'!$J$35</definedName>
    <definedName name="AW_2">'Charakter'!$J$36</definedName>
    <definedName name="AW_3">'Charakter'!$J$37</definedName>
    <definedName name="AW_4">'Charakter'!$J$38</definedName>
    <definedName name="AW_5">'Charakter'!$J$39</definedName>
    <definedName name="AW_6">'Charakter'!$J$40</definedName>
    <definedName name="AW_FKW" localSheetId="1">'Fertigkeiten'!$Q$9</definedName>
    <definedName name="AW_FKW">'Fertigkeiten'!$Q$9</definedName>
    <definedName name="BBE">'Charakter'!$F$30</definedName>
    <definedName name="BE">'Charakter'!$G$30</definedName>
    <definedName name="BE_Bonus">'Ver.Werte'!$L$10</definedName>
    <definedName name="BKAP_Bonus">'Ver.Werte'!$I$12</definedName>
    <definedName name="BSP_1">'Formeln'!$N$44</definedName>
    <definedName name="BSP_2">'Formeln'!$N$45</definedName>
    <definedName name="BSP_3">'Formeln'!$N$46</definedName>
    <definedName name="BSP_4">'Formeln'!$N$47</definedName>
    <definedName name="BSP_5">'Formeln'!$N$48</definedName>
    <definedName name="BSP_6">'Formeln'!$N$49</definedName>
    <definedName name="BSP_7">'Formeln'!$N$50</definedName>
    <definedName name="BSP_8">'Formeln'!$N$51</definedName>
    <definedName name="BSP_9">'Formeln'!$N$52</definedName>
    <definedName name="BSP_Bonus">'Ver.Werte'!$L$12</definedName>
    <definedName name="BSP_HKW">'Formeln'!$N$43</definedName>
    <definedName name="GE">'Charakter'!$E$20</definedName>
    <definedName name="Gesamtgewicht">'Ausrüstung'!$H$61</definedName>
    <definedName name="HKW">'Formeln'!$D$43</definedName>
    <definedName name="INS">'Charakter'!$H$22</definedName>
    <definedName name="INS_Bonus">'Ver.Werte'!$G$10</definedName>
    <definedName name="IW_Bonus">'Ver.Werte'!$E$10</definedName>
    <definedName name="IW_HKW">'Formeln'!$H$43</definedName>
    <definedName name="IW_NW1">'Formeln'!$H$44</definedName>
    <definedName name="IW_NW2">'Formeln'!$H$45</definedName>
    <definedName name="IW_NW3">'Formeln'!$H$46</definedName>
    <definedName name="IW_NW4">'Formeln'!$H$47</definedName>
    <definedName name="IW_NW5">'Formeln'!$H$48</definedName>
    <definedName name="KEP_Punkte">'Charakter'!$G$19</definedName>
    <definedName name="KEP_Stufe">'Charakter'!$H$14</definedName>
    <definedName name="KF">'Charakter'!$H$27</definedName>
    <definedName name="KF_Bonus">'Ver.Werte'!$K$10</definedName>
    <definedName name="KK">'Charakter'!$E$19</definedName>
    <definedName name="KKB_1">'Formeln'!$K$44</definedName>
    <definedName name="KKB_2">'Formeln'!$K$45</definedName>
    <definedName name="KKB_3">'Formeln'!$K$46</definedName>
    <definedName name="KKB_4">'Formeln'!$K$47</definedName>
    <definedName name="KKB_5">'Formeln'!$K$48</definedName>
    <definedName name="KKB_6">'Formeln'!$K$49</definedName>
    <definedName name="KKB_7">'Formeln'!$K$50</definedName>
    <definedName name="KKB_8">'Formeln'!$K$51</definedName>
    <definedName name="KKB_9">'Formeln'!$K$52</definedName>
    <definedName name="KKB_Bonus">'Ver.Werte'!$K$12</definedName>
    <definedName name="KKB_HKW">'Formeln'!$K$43</definedName>
    <definedName name="KL">'Charakter'!$E$15</definedName>
    <definedName name="Marschieren">'Fertigkeiten'!$Q$26</definedName>
    <definedName name="Name">'Charakter'!$C$7</definedName>
    <definedName name="Naturbeobachtung" localSheetId="1">'Fertigkeiten'!$Q$33</definedName>
    <definedName name="Naturbeobachtung">'Fertigkeiten'!$Q$33</definedName>
    <definedName name="NW_1">'Formeln'!$D$44</definedName>
    <definedName name="NW_2">'Formeln'!$D$45</definedName>
    <definedName name="NW_3">'Formeln'!$D$46</definedName>
    <definedName name="NW_4">'Formeln'!$D$47</definedName>
    <definedName name="NW_5">'Formeln'!$D$48</definedName>
    <definedName name="R_BKAP1">'Charakter'!$H$30</definedName>
    <definedName name="R_BKAP2">'Charakter'!$H$31</definedName>
    <definedName name="R_BKAP3">'Charakter'!$H$32</definedName>
    <definedName name="Reiten" localSheetId="1">'Fertigkeiten'!$Q$21</definedName>
    <definedName name="Reiten">'Fertigkeiten'!$Q$21</definedName>
    <definedName name="Ringkampf" localSheetId="1">'Fertigkeiten'!$Q$14</definedName>
    <definedName name="Ringkampf">'Fertigkeiten'!$Q$14</definedName>
    <definedName name="RZ1">'Charakter'!$E$24</definedName>
    <definedName name="RZ2">'Charakter'!$E$25</definedName>
    <definedName name="RZ3">'Charakter'!$E$26</definedName>
    <definedName name="RZ4">'Charakter'!$E$27</definedName>
    <definedName name="Schild" localSheetId="1">'Fertigkeiten'!$Q$10</definedName>
    <definedName name="Schild">'Fertigkeiten'!$Q$10</definedName>
    <definedName name="ST">'Charakter'!$H$24</definedName>
    <definedName name="ST_Bonus">'Ver.Werte'!$J$10</definedName>
    <definedName name="StufenAW">'Ver.Werte'!$J$61</definedName>
    <definedName name="StufenMKP">'Ver.Werte'!$H$61</definedName>
    <definedName name="StufenMKZ">'Ver.Werte'!$H$61</definedName>
    <definedName name="StufenVIP">'Ver.Werte'!$F$61</definedName>
    <definedName name="StufenVW">'Ver.Werte'!$L$61</definedName>
    <definedName name="TAK">'Charakter'!$E$17</definedName>
    <definedName name="TB">'Ausrüstung'!$C$60</definedName>
    <definedName name="TG">'Ausrüstung'!$G$60</definedName>
    <definedName name="Tiere_zähmen" localSheetId="1">'Fertigkeiten'!$Q$62</definedName>
    <definedName name="Tiere_zähmen">'Fertigkeiten'!$Q$62</definedName>
    <definedName name="Tragkraft">'Charakter'!$J$10</definedName>
    <definedName name="TS">'Ausrüstung'!$E$60</definedName>
    <definedName name="Typus">'Charakter'!$C$8</definedName>
    <definedName name="UrAUSD">'Charakter'!$C$18</definedName>
    <definedName name="UrAUSS">'Charakter'!$C$14</definedName>
    <definedName name="UrGE">'Charakter'!$C$20</definedName>
    <definedName name="UrINS">'Ver.Werte'!$F$10</definedName>
    <definedName name="UrKK">'Charakter'!$C$19</definedName>
    <definedName name="UrKL">'Charakter'!$C$15</definedName>
    <definedName name="UrMKZ">'Ver.Werte'!$H$10</definedName>
    <definedName name="UrRZ1">'Charakter'!$D$24</definedName>
    <definedName name="UrRZ2">'Charakter'!$D$25</definedName>
    <definedName name="UrRZ3">'Charakter'!$D$26</definedName>
    <definedName name="UrRZ4">'Charakter'!$D$27</definedName>
    <definedName name="UrTAK">'Charakter'!$C$17</definedName>
    <definedName name="UrVIP">'Ver.Werte'!$I$10</definedName>
    <definedName name="UrWEI">'Charakter'!$C$16</definedName>
    <definedName name="VW_1">'Charakter'!$K$35</definedName>
    <definedName name="VW_2">'Charakter'!$K$36</definedName>
    <definedName name="VW_3">'Charakter'!$K$37</definedName>
    <definedName name="VW_4">'Charakter'!$K$38</definedName>
    <definedName name="VW_5">'Charakter'!$K$39</definedName>
    <definedName name="VW_6">'Charakter'!$K$40</definedName>
    <definedName name="Waffengewicht">'Formeln'!$Q$53</definedName>
    <definedName name="WEI">'Charakter'!$E$16</definedName>
    <definedName name="WEP_Punkte">'Charakter'!$G$16</definedName>
    <definedName name="WEP_Stufe">'Charakter'!$G$14</definedName>
    <definedName name="ZP_Bonus">'Ver.Werte'!$J$12</definedName>
    <definedName name="ZT">'Charakter'!$H$26</definedName>
  </definedNames>
  <calcPr fullCalcOnLoad="1"/>
</workbook>
</file>

<file path=xl/sharedStrings.xml><?xml version="1.0" encoding="utf-8"?>
<sst xmlns="http://schemas.openxmlformats.org/spreadsheetml/2006/main" count="389" uniqueCount="302">
  <si>
    <t>Ruf des Warlock</t>
  </si>
  <si>
    <t>Charakterbogen für Ritter</t>
  </si>
  <si>
    <t>HINTERGRUNDDATEN:</t>
  </si>
  <si>
    <t>Titel:</t>
  </si>
  <si>
    <t>VIP</t>
  </si>
  <si>
    <t>Name:</t>
  </si>
  <si>
    <t>Thorus</t>
  </si>
  <si>
    <t>Augen:</t>
  </si>
  <si>
    <t>Blau</t>
  </si>
  <si>
    <t>KAP</t>
  </si>
  <si>
    <t>Typus:</t>
  </si>
  <si>
    <t>RITTER</t>
  </si>
  <si>
    <t>Haare:</t>
  </si>
  <si>
    <t>Braun</t>
  </si>
  <si>
    <t>B-KAP</t>
  </si>
  <si>
    <t>Beruf:</t>
  </si>
  <si>
    <t>Waffenschmied</t>
  </si>
  <si>
    <t>Sprachen</t>
  </si>
  <si>
    <t>2. AW</t>
  </si>
  <si>
    <t>Schicht:</t>
  </si>
  <si>
    <t>Einfaches Volk</t>
  </si>
  <si>
    <t>Größe:</t>
  </si>
  <si>
    <t>175 cm</t>
  </si>
  <si>
    <t>Alter:</t>
  </si>
  <si>
    <t>Tragkr./g:</t>
  </si>
  <si>
    <t>2. VW</t>
  </si>
  <si>
    <t>Figur:</t>
  </si>
  <si>
    <t>Normal</t>
  </si>
  <si>
    <t>Gewicht:</t>
  </si>
  <si>
    <t>86 kg</t>
  </si>
  <si>
    <t>Geb.Dat.:</t>
  </si>
  <si>
    <t>Tragla./g:</t>
  </si>
  <si>
    <t>EP</t>
  </si>
  <si>
    <t>Attribut</t>
  </si>
  <si>
    <t>UR-Wert:</t>
  </si>
  <si>
    <t>Wert:</t>
  </si>
  <si>
    <t>Jetzt:</t>
  </si>
  <si>
    <t>WEP</t>
  </si>
  <si>
    <t>KEP</t>
  </si>
  <si>
    <t>AUSS</t>
  </si>
  <si>
    <t>KL</t>
  </si>
  <si>
    <t>WEP-Punkte</t>
  </si>
  <si>
    <t>WEI</t>
  </si>
  <si>
    <t>TAK</t>
  </si>
  <si>
    <t>AUSD</t>
  </si>
  <si>
    <t>KEP-Punkte</t>
  </si>
  <si>
    <t>KK</t>
  </si>
  <si>
    <t>GE</t>
  </si>
  <si>
    <t>INS</t>
  </si>
  <si>
    <t>Resistenzzahlen:</t>
  </si>
  <si>
    <t>UR-Wert</t>
  </si>
  <si>
    <t>PG</t>
  </si>
  <si>
    <t>I. Dämpfe, Odem...</t>
  </si>
  <si>
    <t>ST</t>
  </si>
  <si>
    <t>II. Gifte, Lähmung…</t>
  </si>
  <si>
    <t>IF</t>
  </si>
  <si>
    <t>III. Illusionen etc.</t>
  </si>
  <si>
    <t>ZT</t>
  </si>
  <si>
    <t>/</t>
  </si>
  <si>
    <t>IV. Zauber etc.</t>
  </si>
  <si>
    <t>KF</t>
  </si>
  <si>
    <t xml:space="preserve"> </t>
  </si>
  <si>
    <t>RÜSTUNG:</t>
  </si>
  <si>
    <t>Typ/Nr.</t>
  </si>
  <si>
    <t>SF</t>
  </si>
  <si>
    <t>BBE</t>
  </si>
  <si>
    <t>BE</t>
  </si>
  <si>
    <t>-BKAP</t>
  </si>
  <si>
    <t>WF</t>
  </si>
  <si>
    <t>Schild:</t>
  </si>
  <si>
    <t>Tartsche(Hlz. m. Fe)</t>
  </si>
  <si>
    <t>Ringelpanzer (KH)</t>
  </si>
  <si>
    <t>KAP/ZE</t>
  </si>
  <si>
    <t>Spangenhelm</t>
  </si>
  <si>
    <t>Helm 2</t>
  </si>
  <si>
    <t>VW-Modifikator</t>
  </si>
  <si>
    <t>Kampf mit Schild</t>
  </si>
  <si>
    <t>WAFFEN (NK):</t>
  </si>
  <si>
    <t>TYP</t>
  </si>
  <si>
    <t>INI</t>
  </si>
  <si>
    <t>KKB</t>
  </si>
  <si>
    <t>WG</t>
  </si>
  <si>
    <t>BSP</t>
  </si>
  <si>
    <t>AW</t>
  </si>
  <si>
    <t>VW</t>
  </si>
  <si>
    <t>SOLO</t>
  </si>
  <si>
    <t>BLOCK</t>
  </si>
  <si>
    <t>Backsword</t>
  </si>
  <si>
    <t>S</t>
  </si>
  <si>
    <t>1W6+…</t>
  </si>
  <si>
    <t>Messer</t>
  </si>
  <si>
    <t>SW</t>
  </si>
  <si>
    <t>1W4+…</t>
  </si>
  <si>
    <t>Waffenlos</t>
  </si>
  <si>
    <t>A/B*</t>
  </si>
  <si>
    <t>*Ausweichen/Blocken</t>
  </si>
  <si>
    <t>WAFFEN (FK):</t>
  </si>
  <si>
    <t>erf. KK</t>
  </si>
  <si>
    <t>Munition</t>
  </si>
  <si>
    <t>1W+…</t>
  </si>
  <si>
    <t>Fähigkeiten:</t>
  </si>
  <si>
    <t>Charakterspezifische Fähigkeiten:</t>
  </si>
  <si>
    <t xml:space="preserve">Keine Waffen- und Rüstungsbeschränkung, </t>
  </si>
  <si>
    <t>TAK -2 vor Kampf, kann NSCe als Begleiter ge-</t>
  </si>
  <si>
    <t>winnen, Schicht kein Ausgestoßener, kann zum</t>
  </si>
  <si>
    <t>Warlord und Paladin aufsteigen, keine Magie, darf</t>
  </si>
  <si>
    <t>nie Herausforderung ablehnen oder Kampf ab-</t>
  </si>
  <si>
    <t>brechen, darf nur Aufträge annehmen, die der</t>
  </si>
  <si>
    <t>"guten" Sache dienen, darf kein Geld für Jobs</t>
  </si>
  <si>
    <t>annehmen, BSP+2, KKB+1, ST+1, Beruf+1</t>
  </si>
  <si>
    <t>NSCe</t>
  </si>
  <si>
    <t>Klasse</t>
  </si>
  <si>
    <t>www.imdacil.de</t>
  </si>
  <si>
    <r>
      <rPr>
        <b/>
        <u val="single"/>
        <sz val="16"/>
        <rFont val="Times New Roman"/>
        <family val="1"/>
      </rPr>
      <t>Ruf des Warlock</t>
    </r>
    <r>
      <rPr>
        <b/>
        <sz val="16"/>
        <rFont val="Times New Roman"/>
        <family val="1"/>
      </rPr>
      <t xml:space="preserve"> - Die Fertigkeiten</t>
    </r>
  </si>
  <si>
    <t>Grundwert</t>
  </si>
  <si>
    <t>Berufsboni</t>
  </si>
  <si>
    <t>Attribustsboni</t>
  </si>
  <si>
    <t>FP-Boni</t>
  </si>
  <si>
    <t>Übersteigerung</t>
  </si>
  <si>
    <t>aktueller Wert</t>
  </si>
  <si>
    <t>Waffenfertigkeiten</t>
  </si>
  <si>
    <t>Kampf m. Schuss- und Wurfwaffen</t>
  </si>
  <si>
    <t>Kampf zu Pferd</t>
  </si>
  <si>
    <t>Kampf mit zwei Waffen</t>
  </si>
  <si>
    <t>Kampf mit "Ersatzwaffen"</t>
  </si>
  <si>
    <t>Ringkampf</t>
  </si>
  <si>
    <t>Instandsetzung von Waffen</t>
  </si>
  <si>
    <t>Körperfertigkeiten</t>
  </si>
  <si>
    <t>Laufen</t>
  </si>
  <si>
    <t>Schwimmen und Tauchen</t>
  </si>
  <si>
    <t>Klettern und Balancieren</t>
  </si>
  <si>
    <t>Reiten</t>
  </si>
  <si>
    <t>Geräuschloses Handeln</t>
  </si>
  <si>
    <t>Taschendiebstahl</t>
  </si>
  <si>
    <t>Verbergen*</t>
  </si>
  <si>
    <t>Schlösser öffnen</t>
  </si>
  <si>
    <t>Marschieren</t>
  </si>
  <si>
    <t>Saufen</t>
  </si>
  <si>
    <t>Wahrnehmungs- und Wildnisfertigkeiten</t>
  </si>
  <si>
    <t>Geschmack/Geruch identifizieren</t>
  </si>
  <si>
    <t>Lauschen</t>
  </si>
  <si>
    <t>Übersinnliche Wahrnehmung*</t>
  </si>
  <si>
    <t>Naturbeobachtung*</t>
  </si>
  <si>
    <t>Nahrung beschaffen</t>
  </si>
  <si>
    <t>Tarnen*</t>
  </si>
  <si>
    <t>Orientierungskunst</t>
  </si>
  <si>
    <t>Fallen stellen</t>
  </si>
  <si>
    <t>Fährten lesen</t>
  </si>
  <si>
    <t>Wagen lenken</t>
  </si>
  <si>
    <t>Wissens- und Heilfertigkeiten</t>
  </si>
  <si>
    <t>Lesen und Schreiben</t>
  </si>
  <si>
    <t>Technisches Verständnis</t>
  </si>
  <si>
    <t>Segeln</t>
  </si>
  <si>
    <t>Völker und Landeskunde</t>
  </si>
  <si>
    <t>Menschenkenntnis</t>
  </si>
  <si>
    <t>Pflanzenkenntnisse*</t>
  </si>
  <si>
    <t>Gifte und Tränke identifizieren</t>
  </si>
  <si>
    <t>Gift und Gegengift herstellen*</t>
  </si>
  <si>
    <t>Heilmittel erkennen</t>
  </si>
  <si>
    <t>Wunden behandeln</t>
  </si>
  <si>
    <t>Krankheiten behandeln</t>
  </si>
  <si>
    <t>Heiltränke herstellen*</t>
  </si>
  <si>
    <t>Charismatische Fertigkeiten</t>
  </si>
  <si>
    <t>Überredungskunst</t>
  </si>
  <si>
    <t>Verhandlungskunst</t>
  </si>
  <si>
    <t>Erzählkunst/Sprachgewandtheit</t>
  </si>
  <si>
    <t>Zeichensprache/Scharaden</t>
  </si>
  <si>
    <t>Verführungskünste</t>
  </si>
  <si>
    <t>Handeln*</t>
  </si>
  <si>
    <t>Tiere zähmen</t>
  </si>
  <si>
    <t>Glücksspiel</t>
  </si>
  <si>
    <t>&lt;-- Restpunkte</t>
  </si>
  <si>
    <t>*</t>
  </si>
  <si>
    <t>Proben werden vom Master durchgeführt</t>
  </si>
  <si>
    <t>Ausrüstungsliste</t>
  </si>
  <si>
    <t>ORT</t>
  </si>
  <si>
    <t>AUSRÜSTUNG</t>
  </si>
  <si>
    <t>GEW./g</t>
  </si>
  <si>
    <t>Rucksack:</t>
  </si>
  <si>
    <t>Zunderkästchen (je 20)</t>
  </si>
  <si>
    <t>Zwirn (20 m)</t>
  </si>
  <si>
    <t>Wolldecke (1,3 * 2 m)</t>
  </si>
  <si>
    <t>Strick (10 m)</t>
  </si>
  <si>
    <t>Fackeln (je 4 h)</t>
  </si>
  <si>
    <t>Sandalen (Leder)</t>
  </si>
  <si>
    <t>Kompass</t>
  </si>
  <si>
    <t>2 Weidendorn (KAP)</t>
  </si>
  <si>
    <t>Körper:</t>
  </si>
  <si>
    <t>Kriegerstiefel</t>
  </si>
  <si>
    <t>Einfache Dolchscheide (Leder)</t>
  </si>
  <si>
    <t>Unterwäsche (Hemd, Hose, Socken)</t>
  </si>
  <si>
    <t>Einfache Schwertscheide</t>
  </si>
  <si>
    <t>Hemd, Bluse (Leinen)</t>
  </si>
  <si>
    <t>Backsword (HV)</t>
  </si>
  <si>
    <t>Hose (einfacher Stoff)</t>
  </si>
  <si>
    <t>2 Heilen lt. Wunden20VIP/200KAP</t>
  </si>
  <si>
    <t>Barren (TB):</t>
  </si>
  <si>
    <t>Schekel (TS):</t>
  </si>
  <si>
    <t>Gulden (TG):</t>
  </si>
  <si>
    <t>1 TB = 2 TS = 10 TG</t>
  </si>
  <si>
    <t>Gesamtgewicht in Gramm:</t>
  </si>
  <si>
    <t>noch tragbar:</t>
  </si>
  <si>
    <t>Veränderliche Werte eines RdW-Charakters</t>
  </si>
  <si>
    <t>Datum:</t>
  </si>
  <si>
    <t>Ausgangswerte und charakterspezifische Boni</t>
  </si>
  <si>
    <t>Stufe</t>
  </si>
  <si>
    <t>Alter</t>
  </si>
  <si>
    <t>Figur</t>
  </si>
  <si>
    <t>IW-Bonus</t>
  </si>
  <si>
    <t>INS-Bonus</t>
  </si>
  <si>
    <t>MKZ</t>
  </si>
  <si>
    <t>ST-Bonus</t>
  </si>
  <si>
    <t>KF-Bonus</t>
  </si>
  <si>
    <t>BE-Bonus</t>
  </si>
  <si>
    <t>1./1.</t>
  </si>
  <si>
    <t>ZP-Bonus</t>
  </si>
  <si>
    <t>Stufenanstieg</t>
  </si>
  <si>
    <t>WEP/KEP-Stufe</t>
  </si>
  <si>
    <t>Gesamtpunkte WEP/KEP</t>
  </si>
  <si>
    <t>Zugewürfelte VIP</t>
  </si>
  <si>
    <t>Zugewürfelte MKZ</t>
  </si>
  <si>
    <t>AW/VW Anstieg durch gerade KEP-Stufe</t>
  </si>
  <si>
    <t>-</t>
  </si>
  <si>
    <t>1./2.</t>
  </si>
  <si>
    <t>2./2.</t>
  </si>
  <si>
    <t>2./3.</t>
  </si>
  <si>
    <t>3./3.</t>
  </si>
  <si>
    <t>3./4.</t>
  </si>
  <si>
    <t>Wichtige Formeln zum erstellen eines (Standard-)Charakters:</t>
  </si>
  <si>
    <t>3W30+12 Jahre</t>
  </si>
  <si>
    <t>1W10+1W30+165(bei Frauen +155)Zentimeter</t>
  </si>
  <si>
    <t>W30: 1-9 schlank 10-24 normal 25-30 breit</t>
  </si>
  <si>
    <t>1: Ausgestoßener</t>
  </si>
  <si>
    <t>2-5: niederes Volk</t>
  </si>
  <si>
    <t>6-18: einfaches Volk</t>
  </si>
  <si>
    <t>19-23: untere Mittelschicht</t>
  </si>
  <si>
    <t>24-27: obere Mittelschicht</t>
  </si>
  <si>
    <t>28-29: Landadel</t>
  </si>
  <si>
    <t>30: Hochadel</t>
  </si>
  <si>
    <t>1-8: keiner; 9-22: 1; 23-27: 2; 28-30: 3</t>
  </si>
  <si>
    <t>Sprachen:</t>
  </si>
  <si>
    <t>KL&gt;16</t>
  </si>
  <si>
    <t>Instinkt:</t>
  </si>
  <si>
    <t>1W10+11</t>
  </si>
  <si>
    <t>Attribute:</t>
  </si>
  <si>
    <t>1W8+11</t>
  </si>
  <si>
    <t>ZT:</t>
  </si>
  <si>
    <t>1W30</t>
  </si>
  <si>
    <t>IW</t>
  </si>
  <si>
    <t>SW=18 S=15 LSK=12 ZH=9 SSK=6 STG=3; TAK+INS+BE+Faktor</t>
  </si>
  <si>
    <t>Solo-Aw / Block-VW Tabelle</t>
  </si>
  <si>
    <t xml:space="preserve">AW </t>
  </si>
  <si>
    <t>0*</t>
  </si>
  <si>
    <t>LSK</t>
  </si>
  <si>
    <t>SSK</t>
  </si>
  <si>
    <t>ZH</t>
  </si>
  <si>
    <t>STG</t>
  </si>
  <si>
    <t>6</t>
  </si>
  <si>
    <t>Keine Waffe</t>
  </si>
  <si>
    <t>Waffen-Gattungen</t>
  </si>
  <si>
    <t>Waffengew.*</t>
  </si>
  <si>
    <t>HKW</t>
  </si>
  <si>
    <t>SW = 3</t>
  </si>
  <si>
    <t>SW = 18</t>
  </si>
  <si>
    <t>Nahkampf</t>
  </si>
  <si>
    <t>Nebenwaffe 1</t>
  </si>
  <si>
    <t>S = 4</t>
  </si>
  <si>
    <t>S = 15</t>
  </si>
  <si>
    <t>NW 2</t>
  </si>
  <si>
    <t>LSK = 5</t>
  </si>
  <si>
    <t>LSK = 12</t>
  </si>
  <si>
    <t>NW 3</t>
  </si>
  <si>
    <t>SSK = 6</t>
  </si>
  <si>
    <t>NW 4</t>
  </si>
  <si>
    <t>ZH = 7</t>
  </si>
  <si>
    <t>ZH = 9</t>
  </si>
  <si>
    <t>NW 5</t>
  </si>
  <si>
    <t>STG = 8</t>
  </si>
  <si>
    <t>STG = 3</t>
  </si>
  <si>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Keine Waffe im Slot  = 2</t>
    </r>
  </si>
  <si>
    <t>Fernkampf</t>
  </si>
  <si>
    <t>* Angabe des Waffengewichtes in gr</t>
  </si>
  <si>
    <t>Waffengewichtsregel:</t>
  </si>
  <si>
    <t>© www.imdacil.de</t>
  </si>
  <si>
    <t xml:space="preserve">Ruf des Warlock Stufentabelle </t>
  </si>
  <si>
    <t>(© by www.imdacil.de)</t>
  </si>
  <si>
    <t>Reitpferd</t>
  </si>
  <si>
    <t>Marschgeschwindigkeit (km/h)</t>
  </si>
  <si>
    <t>27</t>
  </si>
  <si>
    <t>4./4.</t>
  </si>
  <si>
    <t>4./5.</t>
  </si>
  <si>
    <t>5./5.</t>
  </si>
  <si>
    <t>6./6.</t>
  </si>
  <si>
    <t>5./6.</t>
  </si>
  <si>
    <t>2 Tolrund (VIP)</t>
  </si>
  <si>
    <t>8, 15</t>
  </si>
  <si>
    <t>KH</t>
  </si>
  <si>
    <t>7./6.</t>
  </si>
  <si>
    <t>7./7.</t>
  </si>
  <si>
    <t>8./7.</t>
  </si>
  <si>
    <t>8./8.</t>
  </si>
  <si>
    <t>9./8.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</si>
</sst>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0.0"/>
  </numFmts>
  <fonts count="63">
    <font>
      <sz val="12"/>
      <name val="Times New Roman"/>
      <family val="0"/>
    </font>
    <font>
      <sz val="10"/>
      <name val="Arial"/>
      <family val="0"/>
    </font>
    <font>
      <sz val="11"/>
      <name val="Times New Roman"/>
      <family val="1"/>
    </font>
    <font>
      <b/>
      <u val="single"/>
      <sz val="2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4"/>
      <name val="Caligula"/>
      <family val="0"/>
    </font>
    <font>
      <sz val="12"/>
      <name val="Caligula"/>
      <family val="0"/>
    </font>
    <font>
      <b/>
      <sz val="14"/>
      <name val="Times New Roman"/>
      <family val="1"/>
    </font>
    <font>
      <sz val="10"/>
      <name val="Symbol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1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left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33" borderId="25" xfId="0" applyFont="1" applyFill="1" applyBorder="1" applyAlignment="1" applyProtection="1">
      <alignment horizontal="left" vertical="center"/>
      <protection locked="0"/>
    </xf>
    <xf numFmtId="3" fontId="4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vertical="center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vertical="center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49" fontId="4" fillId="34" borderId="49" xfId="0" applyNumberFormat="1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55" xfId="0" applyFont="1" applyFill="1" applyBorder="1" applyAlignment="1" applyProtection="1">
      <alignment horizontal="center" wrapText="1"/>
      <protection locked="0"/>
    </xf>
    <xf numFmtId="0" fontId="4" fillId="34" borderId="56" xfId="0" applyFont="1" applyFill="1" applyBorder="1" applyAlignment="1" applyProtection="1">
      <alignment horizontal="center" wrapText="1"/>
      <protection locked="0"/>
    </xf>
    <xf numFmtId="0" fontId="4" fillId="34" borderId="28" xfId="0" applyFont="1" applyFill="1" applyBorder="1" applyAlignment="1" applyProtection="1">
      <alignment horizontal="center" wrapText="1"/>
      <protection locked="0"/>
    </xf>
    <xf numFmtId="0" fontId="4" fillId="34" borderId="55" xfId="0" applyFont="1" applyFill="1" applyBorder="1" applyAlignment="1">
      <alignment horizontal="center"/>
    </xf>
    <xf numFmtId="0" fontId="4" fillId="34" borderId="29" xfId="0" applyFont="1" applyFill="1" applyBorder="1" applyAlignment="1" applyProtection="1">
      <alignment horizontal="center" wrapText="1"/>
      <protection locked="0"/>
    </xf>
    <xf numFmtId="0" fontId="4" fillId="34" borderId="57" xfId="0" applyFont="1" applyFill="1" applyBorder="1" applyAlignment="1" applyProtection="1">
      <alignment horizontal="center" wrapText="1"/>
      <protection locked="0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53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53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53" xfId="0" applyNumberFormat="1" applyFont="1" applyFill="1" applyBorder="1" applyAlignment="1" applyProtection="1">
      <alignment horizontal="center" vertical="center"/>
      <protection locked="0"/>
    </xf>
    <xf numFmtId="1" fontId="7" fillId="0" borderId="60" xfId="0" applyNumberFormat="1" applyFont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61" xfId="0" applyNumberFormat="1" applyFont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33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57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>
      <alignment vertical="center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/>
      <protection locked="0"/>
    </xf>
    <xf numFmtId="0" fontId="4" fillId="0" borderId="64" xfId="0" applyFont="1" applyBorder="1" applyAlignment="1" applyProtection="1">
      <alignment/>
      <protection locked="0"/>
    </xf>
    <xf numFmtId="0" fontId="4" fillId="0" borderId="65" xfId="0" applyFont="1" applyBorder="1" applyAlignment="1" applyProtection="1">
      <alignment/>
      <protection locked="0"/>
    </xf>
    <xf numFmtId="0" fontId="11" fillId="0" borderId="66" xfId="0" applyFont="1" applyBorder="1" applyAlignment="1" applyProtection="1">
      <alignment/>
      <protection locked="0"/>
    </xf>
    <xf numFmtId="0" fontId="0" fillId="0" borderId="67" xfId="0" applyBorder="1" applyAlignment="1">
      <alignment/>
    </xf>
    <xf numFmtId="0" fontId="13" fillId="0" borderId="67" xfId="0" applyFont="1" applyBorder="1" applyAlignment="1" applyProtection="1">
      <alignment textRotation="90" wrapText="1"/>
      <protection locked="0"/>
    </xf>
    <xf numFmtId="0" fontId="11" fillId="0" borderId="6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6" fillId="33" borderId="31" xfId="0" applyNumberFormat="1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13" fillId="0" borderId="69" xfId="0" applyFont="1" applyBorder="1" applyAlignment="1">
      <alignment textRotation="90"/>
    </xf>
    <xf numFmtId="0" fontId="13" fillId="0" borderId="69" xfId="0" applyFont="1" applyBorder="1" applyAlignment="1" applyProtection="1">
      <alignment textRotation="90" wrapText="1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70" xfId="0" applyNumberFormat="1" applyFont="1" applyFill="1" applyBorder="1" applyAlignment="1" applyProtection="1">
      <alignment horizontal="center"/>
      <protection locked="0"/>
    </xf>
    <xf numFmtId="0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58" xfId="0" applyNumberFormat="1" applyFont="1" applyFill="1" applyBorder="1" applyAlignment="1" applyProtection="1">
      <alignment horizontal="center"/>
      <protection locked="0"/>
    </xf>
    <xf numFmtId="49" fontId="4" fillId="0" borderId="5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71" xfId="0" applyNumberFormat="1" applyFont="1" applyFill="1" applyBorder="1" applyAlignment="1" applyProtection="1">
      <alignment horizontal="center"/>
      <protection locked="0"/>
    </xf>
    <xf numFmtId="0" fontId="4" fillId="0" borderId="53" xfId="0" applyNumberFormat="1" applyFont="1" applyFill="1" applyBorder="1" applyAlignment="1" applyProtection="1">
      <alignment horizontal="center"/>
      <protection locked="0"/>
    </xf>
    <xf numFmtId="0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0" fontId="4" fillId="0" borderId="72" xfId="0" applyNumberFormat="1" applyFont="1" applyFill="1" applyBorder="1" applyAlignment="1" applyProtection="1">
      <alignment horizontal="center"/>
      <protection locked="0"/>
    </xf>
    <xf numFmtId="0" fontId="4" fillId="0" borderId="54" xfId="0" applyNumberFormat="1" applyFont="1" applyFill="1" applyBorder="1" applyAlignment="1" applyProtection="1">
      <alignment horizontal="center"/>
      <protection locked="0"/>
    </xf>
    <xf numFmtId="0" fontId="4" fillId="0" borderId="61" xfId="0" applyNumberFormat="1" applyFont="1" applyFill="1" applyBorder="1" applyAlignment="1" applyProtection="1">
      <alignment horizontal="center"/>
      <protection locked="0"/>
    </xf>
    <xf numFmtId="49" fontId="4" fillId="0" borderId="61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33" borderId="73" xfId="0" applyFont="1" applyFill="1" applyBorder="1" applyAlignment="1" applyProtection="1">
      <alignment horizontal="center"/>
      <protection locked="0"/>
    </xf>
    <xf numFmtId="49" fontId="6" fillId="33" borderId="7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shrinkToFit="1"/>
      <protection locked="0"/>
    </xf>
    <xf numFmtId="0" fontId="15" fillId="0" borderId="0" xfId="0" applyFont="1" applyFill="1" applyBorder="1" applyAlignment="1" applyProtection="1">
      <alignment horizontal="right" shrinkToFi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49" fontId="6" fillId="33" borderId="75" xfId="0" applyNumberFormat="1" applyFont="1" applyFill="1" applyBorder="1" applyAlignment="1" applyProtection="1">
      <alignment horizontal="center"/>
      <protection locked="0"/>
    </xf>
    <xf numFmtId="0" fontId="16" fillId="0" borderId="76" xfId="0" applyFont="1" applyFill="1" applyBorder="1" applyAlignment="1" applyProtection="1">
      <alignment/>
      <protection locked="0"/>
    </xf>
    <xf numFmtId="0" fontId="16" fillId="0" borderId="69" xfId="0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/>
      <protection locked="0"/>
    </xf>
    <xf numFmtId="0" fontId="4" fillId="0" borderId="77" xfId="0" applyFont="1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9" fillId="0" borderId="64" xfId="46" applyNumberFormat="1" applyFont="1" applyFill="1" applyBorder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4" fillId="0" borderId="65" xfId="0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7" xfId="0" applyFont="1" applyBorder="1" applyAlignment="1">
      <alignment horizontal="right"/>
    </xf>
    <xf numFmtId="0" fontId="4" fillId="0" borderId="68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wrapText="1"/>
      <protection locked="0"/>
    </xf>
    <xf numFmtId="3" fontId="4" fillId="0" borderId="18" xfId="53" applyNumberFormat="1" applyFont="1" applyBorder="1" applyAlignment="1" applyProtection="1">
      <alignment horizontal="center" vertical="center"/>
      <protection locked="0"/>
    </xf>
    <xf numFmtId="3" fontId="4" fillId="0" borderId="42" xfId="53" applyNumberFormat="1" applyFont="1" applyBorder="1" applyAlignment="1" applyProtection="1">
      <alignment horizontal="center"/>
      <protection locked="0"/>
    </xf>
    <xf numFmtId="3" fontId="4" fillId="0" borderId="18" xfId="53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center" wrapText="1"/>
      <protection locked="0"/>
    </xf>
    <xf numFmtId="3" fontId="4" fillId="0" borderId="42" xfId="0" applyNumberFormat="1" applyFont="1" applyBorder="1" applyAlignment="1" applyProtection="1">
      <alignment horizontal="center" wrapText="1"/>
      <protection locked="0"/>
    </xf>
    <xf numFmtId="49" fontId="4" fillId="0" borderId="78" xfId="0" applyNumberFormat="1" applyFont="1" applyBorder="1" applyAlignment="1" applyProtection="1">
      <alignment wrapText="1"/>
      <protection locked="0"/>
    </xf>
    <xf numFmtId="3" fontId="4" fillId="0" borderId="79" xfId="53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wrapText="1"/>
      <protection locked="0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35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wrapText="1"/>
      <protection locked="0"/>
    </xf>
    <xf numFmtId="3" fontId="4" fillId="0" borderId="44" xfId="0" applyNumberFormat="1" applyFont="1" applyBorder="1" applyAlignment="1" applyProtection="1">
      <alignment horizontal="center" wrapText="1"/>
      <protection locked="0"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4" xfId="0" applyFont="1" applyBorder="1" applyAlignment="1">
      <alignment horizontal="right"/>
    </xf>
    <xf numFmtId="0" fontId="4" fillId="0" borderId="65" xfId="0" applyFont="1" applyBorder="1" applyAlignment="1">
      <alignment/>
    </xf>
    <xf numFmtId="0" fontId="1" fillId="0" borderId="0" xfId="55">
      <alignment/>
      <protection/>
    </xf>
    <xf numFmtId="0" fontId="4" fillId="0" borderId="66" xfId="55" applyFont="1" applyBorder="1">
      <alignment/>
      <protection/>
    </xf>
    <xf numFmtId="0" fontId="4" fillId="0" borderId="67" xfId="55" applyFont="1" applyBorder="1">
      <alignment/>
      <protection/>
    </xf>
    <xf numFmtId="0" fontId="4" fillId="0" borderId="68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10" xfId="55" applyFont="1" applyBorder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15" fillId="0" borderId="69" xfId="55" applyFont="1" applyFill="1" applyBorder="1" applyAlignment="1">
      <alignment horizontal="left"/>
      <protection/>
    </xf>
    <xf numFmtId="0" fontId="4" fillId="0" borderId="69" xfId="55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1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10" xfId="55" applyFont="1" applyBorder="1" applyAlignment="1">
      <alignment vertical="center"/>
      <protection/>
    </xf>
    <xf numFmtId="0" fontId="15" fillId="33" borderId="80" xfId="55" applyFont="1" applyFill="1" applyBorder="1" applyAlignment="1">
      <alignment horizontal="center" vertical="center"/>
      <protection/>
    </xf>
    <xf numFmtId="0" fontId="15" fillId="33" borderId="81" xfId="55" applyFont="1" applyFill="1" applyBorder="1" applyAlignment="1">
      <alignment horizontal="center" vertical="center"/>
      <protection/>
    </xf>
    <xf numFmtId="0" fontId="22" fillId="33" borderId="81" xfId="55" applyFont="1" applyFill="1" applyBorder="1" applyAlignment="1">
      <alignment vertical="center"/>
      <protection/>
    </xf>
    <xf numFmtId="0" fontId="22" fillId="33" borderId="81" xfId="55" applyFont="1" applyFill="1" applyBorder="1" applyAlignment="1">
      <alignment horizontal="center" vertical="center"/>
      <protection/>
    </xf>
    <xf numFmtId="0" fontId="22" fillId="33" borderId="82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0" borderId="83" xfId="55" applyFont="1" applyFill="1" applyBorder="1" applyAlignment="1">
      <alignment horizontal="center" vertical="center"/>
      <protection/>
    </xf>
    <xf numFmtId="0" fontId="4" fillId="0" borderId="84" xfId="55" applyFont="1" applyFill="1" applyBorder="1" applyAlignment="1" applyProtection="1">
      <alignment horizontal="center" vertical="center"/>
      <protection locked="0"/>
    </xf>
    <xf numFmtId="0" fontId="4" fillId="0" borderId="85" xfId="55" applyFont="1" applyBorder="1" applyAlignment="1" applyProtection="1">
      <alignment horizontal="center" vertical="center"/>
      <protection locked="0"/>
    </xf>
    <xf numFmtId="0" fontId="4" fillId="0" borderId="86" xfId="55" applyFont="1" applyBorder="1" applyAlignment="1" applyProtection="1">
      <alignment horizontal="center" vertical="center"/>
      <protection locked="0"/>
    </xf>
    <xf numFmtId="0" fontId="4" fillId="0" borderId="87" xfId="55" applyFont="1" applyFill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8" xfId="55" applyFont="1" applyBorder="1" applyAlignment="1" applyProtection="1">
      <alignment horizontal="center" vertical="center"/>
      <protection locked="0"/>
    </xf>
    <xf numFmtId="0" fontId="4" fillId="0" borderId="89" xfId="55" applyFont="1" applyBorder="1" applyAlignment="1" applyProtection="1">
      <alignment horizontal="center" vertical="center"/>
      <protection locked="0"/>
    </xf>
    <xf numFmtId="0" fontId="4" fillId="0" borderId="90" xfId="55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15" fillId="33" borderId="91" xfId="0" applyFont="1" applyFill="1" applyBorder="1" applyAlignment="1" applyProtection="1">
      <alignment horizontal="center" vertical="center"/>
      <protection locked="0"/>
    </xf>
    <xf numFmtId="0" fontId="22" fillId="33" borderId="92" xfId="55" applyFont="1" applyFill="1" applyBorder="1" applyAlignment="1" applyProtection="1">
      <alignment horizontal="center" vertical="center"/>
      <protection/>
    </xf>
    <xf numFmtId="0" fontId="15" fillId="33" borderId="93" xfId="55" applyFont="1" applyFill="1" applyBorder="1" applyAlignment="1" applyProtection="1">
      <alignment horizontal="center" vertical="center"/>
      <protection/>
    </xf>
    <xf numFmtId="0" fontId="15" fillId="33" borderId="94" xfId="55" applyFont="1" applyFill="1" applyBorder="1" applyAlignment="1" applyProtection="1">
      <alignment horizontal="center" vertical="center"/>
      <protection/>
    </xf>
    <xf numFmtId="0" fontId="4" fillId="0" borderId="95" xfId="55" applyFont="1" applyFill="1" applyBorder="1" applyAlignment="1">
      <alignment horizontal="center" vertical="center"/>
      <protection/>
    </xf>
    <xf numFmtId="0" fontId="4" fillId="0" borderId="96" xfId="55" applyFont="1" applyFill="1" applyBorder="1" applyAlignment="1" applyProtection="1">
      <alignment horizontal="center" vertical="center"/>
      <protection locked="0"/>
    </xf>
    <xf numFmtId="0" fontId="4" fillId="0" borderId="97" xfId="55" applyFont="1" applyFill="1" applyBorder="1" applyAlignment="1" applyProtection="1">
      <alignment horizontal="center" vertical="center"/>
      <protection locked="0"/>
    </xf>
    <xf numFmtId="0" fontId="13" fillId="0" borderId="62" xfId="55" applyFont="1" applyFill="1" applyBorder="1" applyAlignment="1">
      <alignment horizontal="center"/>
      <protection/>
    </xf>
    <xf numFmtId="0" fontId="4" fillId="0" borderId="64" xfId="55" applyFont="1" applyFill="1" applyBorder="1" applyAlignment="1">
      <alignment horizontal="center"/>
      <protection/>
    </xf>
    <xf numFmtId="0" fontId="13" fillId="0" borderId="98" xfId="55" applyFont="1" applyFill="1" applyBorder="1" applyAlignment="1">
      <alignment horizontal="center"/>
      <protection/>
    </xf>
    <xf numFmtId="0" fontId="4" fillId="0" borderId="53" xfId="55" applyFont="1" applyFill="1" applyBorder="1" applyAlignment="1" applyProtection="1">
      <alignment horizontal="center"/>
      <protection locked="0"/>
    </xf>
    <xf numFmtId="0" fontId="4" fillId="0" borderId="20" xfId="55" applyFont="1" applyFill="1" applyBorder="1" applyAlignment="1" applyProtection="1">
      <alignment horizontal="center"/>
      <protection locked="0"/>
    </xf>
    <xf numFmtId="0" fontId="4" fillId="0" borderId="17" xfId="55" applyFont="1" applyFill="1" applyBorder="1" applyAlignment="1" applyProtection="1">
      <alignment horizontal="center"/>
      <protection locked="0"/>
    </xf>
    <xf numFmtId="49" fontId="15" fillId="0" borderId="11" xfId="55" applyNumberFormat="1" applyFont="1" applyFill="1" applyBorder="1" applyAlignment="1">
      <alignment/>
      <protection/>
    </xf>
    <xf numFmtId="49" fontId="15" fillId="0" borderId="0" xfId="55" applyNumberFormat="1" applyFont="1" applyFill="1" applyBorder="1" applyAlignment="1">
      <alignment/>
      <protection/>
    </xf>
    <xf numFmtId="49" fontId="6" fillId="0" borderId="11" xfId="55" applyNumberFormat="1" applyFont="1" applyFill="1" applyBorder="1" applyAlignment="1">
      <alignment/>
      <protection/>
    </xf>
    <xf numFmtId="49" fontId="6" fillId="0" borderId="0" xfId="55" applyNumberFormat="1" applyFont="1" applyFill="1" applyBorder="1" applyAlignment="1">
      <alignment/>
      <protection/>
    </xf>
    <xf numFmtId="49" fontId="6" fillId="0" borderId="11" xfId="55" applyNumberFormat="1" applyFont="1" applyFill="1" applyBorder="1" applyAlignment="1">
      <alignment horizontal="center"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4" fillId="0" borderId="54" xfId="55" applyFont="1" applyFill="1" applyBorder="1" applyAlignment="1" applyProtection="1">
      <alignment horizontal="center"/>
      <protection locked="0"/>
    </xf>
    <xf numFmtId="0" fontId="4" fillId="0" borderId="26" xfId="55" applyFont="1" applyFill="1" applyBorder="1" applyAlignment="1" applyProtection="1">
      <alignment horizontal="center"/>
      <protection locked="0"/>
    </xf>
    <xf numFmtId="0" fontId="4" fillId="0" borderId="39" xfId="55" applyFont="1" applyFill="1" applyBorder="1" applyAlignment="1" applyProtection="1">
      <alignment horizontal="center"/>
      <protection locked="0"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0" xfId="55" applyBorder="1">
      <alignment/>
      <protection/>
    </xf>
    <xf numFmtId="0" fontId="1" fillId="0" borderId="63" xfId="55" applyBorder="1">
      <alignment/>
      <protection/>
    </xf>
    <xf numFmtId="0" fontId="9" fillId="0" borderId="64" xfId="46" applyNumberFormat="1" applyFont="1" applyFill="1" applyBorder="1" applyAlignment="1" applyProtection="1">
      <alignment horizontal="center"/>
      <protection/>
    </xf>
    <xf numFmtId="0" fontId="1" fillId="0" borderId="64" xfId="55" applyFont="1" applyBorder="1" applyAlignment="1">
      <alignment horizontal="center"/>
      <protection/>
    </xf>
    <xf numFmtId="0" fontId="1" fillId="0" borderId="65" xfId="55" applyBorder="1">
      <alignment/>
      <protection/>
    </xf>
    <xf numFmtId="0" fontId="1" fillId="0" borderId="0" xfId="54">
      <alignment/>
      <protection/>
    </xf>
    <xf numFmtId="0" fontId="1" fillId="0" borderId="66" xfId="54" applyBorder="1" applyProtection="1">
      <alignment/>
      <protection locked="0"/>
    </xf>
    <xf numFmtId="0" fontId="1" fillId="0" borderId="67" xfId="54" applyBorder="1" applyProtection="1">
      <alignment/>
      <protection locked="0"/>
    </xf>
    <xf numFmtId="0" fontId="1" fillId="0" borderId="68" xfId="54" applyBorder="1" applyProtection="1">
      <alignment/>
      <protection locked="0"/>
    </xf>
    <xf numFmtId="0" fontId="1" fillId="0" borderId="10" xfId="54" applyBorder="1" applyProtection="1">
      <alignment/>
      <protection locked="0"/>
    </xf>
    <xf numFmtId="0" fontId="1" fillId="0" borderId="0" xfId="54" applyBorder="1" applyProtection="1">
      <alignment/>
      <protection locked="0"/>
    </xf>
    <xf numFmtId="0" fontId="1" fillId="0" borderId="11" xfId="54" applyBorder="1" applyProtection="1">
      <alignment/>
      <protection locked="0"/>
    </xf>
    <xf numFmtId="0" fontId="1" fillId="33" borderId="19" xfId="54" applyFont="1" applyFill="1" applyBorder="1" applyAlignment="1" applyProtection="1">
      <alignment horizontal="right"/>
      <protection locked="0"/>
    </xf>
    <xf numFmtId="0" fontId="1" fillId="0" borderId="77" xfId="54" applyFill="1" applyBorder="1" applyAlignment="1" applyProtection="1">
      <alignment horizontal="right"/>
      <protection locked="0"/>
    </xf>
    <xf numFmtId="0" fontId="1" fillId="33" borderId="18" xfId="54" applyFont="1" applyFill="1" applyBorder="1" applyAlignment="1" applyProtection="1">
      <alignment horizontal="right"/>
      <protection locked="0"/>
    </xf>
    <xf numFmtId="0" fontId="1" fillId="0" borderId="20" xfId="54" applyFill="1" applyBorder="1" applyAlignment="1" applyProtection="1">
      <alignment horizontal="right"/>
      <protection locked="0"/>
    </xf>
    <xf numFmtId="0" fontId="1" fillId="0" borderId="20" xfId="54" applyFont="1" applyFill="1" applyBorder="1" applyAlignment="1" applyProtection="1">
      <alignment horizontal="right"/>
      <protection locked="0"/>
    </xf>
    <xf numFmtId="0" fontId="1" fillId="33" borderId="25" xfId="54" applyFont="1" applyFill="1" applyBorder="1" applyAlignment="1" applyProtection="1">
      <alignment horizontal="right"/>
      <protection locked="0"/>
    </xf>
    <xf numFmtId="0" fontId="1" fillId="0" borderId="26" xfId="54" applyFont="1" applyFill="1" applyBorder="1" applyAlignment="1" applyProtection="1">
      <alignment horizontal="right"/>
      <protection locked="0"/>
    </xf>
    <xf numFmtId="0" fontId="1" fillId="0" borderId="0" xfId="54" applyFill="1" applyBorder="1" applyAlignment="1" applyProtection="1">
      <alignment horizontal="right"/>
      <protection locked="0"/>
    </xf>
    <xf numFmtId="0" fontId="1" fillId="0" borderId="0" xfId="54" applyBorder="1" applyAlignment="1" applyProtection="1">
      <alignment horizontal="center"/>
      <protection locked="0"/>
    </xf>
    <xf numFmtId="0" fontId="1" fillId="0" borderId="0" xfId="54" applyFill="1" applyBorder="1" applyAlignment="1" applyProtection="1">
      <alignment horizontal="center"/>
      <protection/>
    </xf>
    <xf numFmtId="0" fontId="1" fillId="33" borderId="43" xfId="54" applyFont="1" applyFill="1" applyBorder="1" applyAlignment="1" applyProtection="1">
      <alignment horizontal="center"/>
      <protection/>
    </xf>
    <xf numFmtId="0" fontId="23" fillId="33" borderId="99" xfId="54" applyFont="1" applyFill="1" applyBorder="1" applyAlignment="1" applyProtection="1">
      <alignment horizontal="center"/>
      <protection/>
    </xf>
    <xf numFmtId="0" fontId="1" fillId="33" borderId="11" xfId="54" applyFont="1" applyFill="1" applyBorder="1" applyAlignment="1" applyProtection="1">
      <alignment horizontal="center"/>
      <protection/>
    </xf>
    <xf numFmtId="0" fontId="1" fillId="33" borderId="100" xfId="54" applyFont="1" applyFill="1" applyBorder="1" applyAlignment="1" applyProtection="1">
      <alignment horizontal="center"/>
      <protection/>
    </xf>
    <xf numFmtId="0" fontId="1" fillId="33" borderId="101" xfId="54" applyFont="1" applyFill="1" applyBorder="1" applyAlignment="1" applyProtection="1">
      <alignment horizontal="center"/>
      <protection/>
    </xf>
    <xf numFmtId="0" fontId="1" fillId="0" borderId="0" xfId="54" applyBorder="1" applyProtection="1">
      <alignment/>
      <protection/>
    </xf>
    <xf numFmtId="0" fontId="23" fillId="33" borderId="43" xfId="54" applyFont="1" applyFill="1" applyBorder="1" applyAlignment="1" applyProtection="1">
      <alignment horizontal="center"/>
      <protection/>
    </xf>
    <xf numFmtId="0" fontId="1" fillId="33" borderId="96" xfId="54" applyFont="1" applyFill="1" applyBorder="1" applyAlignment="1" applyProtection="1">
      <alignment horizontal="center"/>
      <protection/>
    </xf>
    <xf numFmtId="0" fontId="1" fillId="33" borderId="84" xfId="54" applyFont="1" applyFill="1" applyBorder="1" applyAlignment="1" applyProtection="1">
      <alignment horizontal="center"/>
      <protection/>
    </xf>
    <xf numFmtId="0" fontId="1" fillId="33" borderId="97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1" fillId="33" borderId="19" xfId="54" applyFill="1" applyBorder="1" applyAlignment="1" applyProtection="1">
      <alignment horizontal="center"/>
      <protection/>
    </xf>
    <xf numFmtId="0" fontId="23" fillId="33" borderId="19" xfId="54" applyFont="1" applyFill="1" applyBorder="1" applyAlignment="1" applyProtection="1">
      <alignment horizontal="center"/>
      <protection/>
    </xf>
    <xf numFmtId="1" fontId="1" fillId="0" borderId="70" xfId="54" applyNumberFormat="1" applyBorder="1" applyAlignment="1" applyProtection="1">
      <alignment horizontal="center"/>
      <protection/>
    </xf>
    <xf numFmtId="0" fontId="1" fillId="0" borderId="52" xfId="54" applyBorder="1" applyAlignment="1" applyProtection="1">
      <alignment horizontal="center"/>
      <protection/>
    </xf>
    <xf numFmtId="0" fontId="1" fillId="0" borderId="14" xfId="54" applyBorder="1" applyAlignment="1" applyProtection="1">
      <alignment horizontal="center"/>
      <protection/>
    </xf>
    <xf numFmtId="0" fontId="1" fillId="33" borderId="42" xfId="54" applyFill="1" applyBorder="1" applyAlignment="1" applyProtection="1">
      <alignment horizontal="center"/>
      <protection/>
    </xf>
    <xf numFmtId="0" fontId="23" fillId="33" borderId="42" xfId="54" applyFont="1" applyFill="1" applyBorder="1" applyAlignment="1" applyProtection="1">
      <alignment horizontal="center"/>
      <protection/>
    </xf>
    <xf numFmtId="0" fontId="1" fillId="0" borderId="65" xfId="54" applyBorder="1" applyAlignment="1" applyProtection="1">
      <alignment horizontal="center"/>
      <protection/>
    </xf>
    <xf numFmtId="0" fontId="1" fillId="0" borderId="62" xfId="54" applyBorder="1" applyAlignment="1" applyProtection="1">
      <alignment horizontal="center"/>
      <protection/>
    </xf>
    <xf numFmtId="0" fontId="1" fillId="0" borderId="98" xfId="54" applyBorder="1" applyAlignment="1" applyProtection="1">
      <alignment horizontal="center"/>
      <protection/>
    </xf>
    <xf numFmtId="0" fontId="1" fillId="0" borderId="0" xfId="54" applyBorder="1" applyAlignment="1" applyProtection="1">
      <alignment horizontal="center"/>
      <protection/>
    </xf>
    <xf numFmtId="0" fontId="1" fillId="33" borderId="18" xfId="54" applyFill="1" applyBorder="1" applyAlignment="1" applyProtection="1">
      <alignment horizontal="center"/>
      <protection/>
    </xf>
    <xf numFmtId="0" fontId="23" fillId="33" borderId="18" xfId="54" applyFont="1" applyFill="1" applyBorder="1" applyAlignment="1" applyProtection="1">
      <alignment horizontal="center"/>
      <protection/>
    </xf>
    <xf numFmtId="0" fontId="1" fillId="0" borderId="71" xfId="54" applyBorder="1" applyAlignment="1" applyProtection="1">
      <alignment horizontal="center"/>
      <protection/>
    </xf>
    <xf numFmtId="0" fontId="1" fillId="0" borderId="53" xfId="54" applyBorder="1" applyAlignment="1" applyProtection="1">
      <alignment horizontal="center"/>
      <protection/>
    </xf>
    <xf numFmtId="0" fontId="1" fillId="0" borderId="17" xfId="54" applyBorder="1" applyAlignment="1" applyProtection="1">
      <alignment horizontal="center"/>
      <protection/>
    </xf>
    <xf numFmtId="0" fontId="1" fillId="0" borderId="17" xfId="54" applyFont="1" applyBorder="1" applyAlignment="1" applyProtection="1">
      <alignment horizontal="center"/>
      <protection/>
    </xf>
    <xf numFmtId="49" fontId="1" fillId="0" borderId="53" xfId="54" applyNumberFormat="1" applyFont="1" applyBorder="1" applyAlignment="1" applyProtection="1">
      <alignment horizontal="center"/>
      <protection/>
    </xf>
    <xf numFmtId="0" fontId="1" fillId="33" borderId="25" xfId="54" applyFill="1" applyBorder="1" applyAlignment="1" applyProtection="1">
      <alignment horizontal="center"/>
      <protection/>
    </xf>
    <xf numFmtId="0" fontId="23" fillId="33" borderId="25" xfId="54" applyFont="1" applyFill="1" applyBorder="1" applyAlignment="1" applyProtection="1">
      <alignment horizontal="center"/>
      <protection/>
    </xf>
    <xf numFmtId="0" fontId="1" fillId="0" borderId="72" xfId="54" applyBorder="1" applyAlignment="1" applyProtection="1">
      <alignment horizontal="center"/>
      <protection/>
    </xf>
    <xf numFmtId="0" fontId="1" fillId="0" borderId="54" xfId="54" applyBorder="1" applyAlignment="1" applyProtection="1">
      <alignment horizontal="center"/>
      <protection/>
    </xf>
    <xf numFmtId="0" fontId="1" fillId="0" borderId="39" xfId="54" applyBorder="1" applyAlignment="1" applyProtection="1">
      <alignment horizontal="center"/>
      <protection/>
    </xf>
    <xf numFmtId="0" fontId="1" fillId="0" borderId="53" xfId="54" applyFont="1" applyBorder="1" applyProtection="1">
      <alignment/>
      <protection/>
    </xf>
    <xf numFmtId="0" fontId="1" fillId="0" borderId="52" xfId="54" applyFont="1" applyBorder="1" applyAlignment="1" applyProtection="1">
      <alignment horizontal="center" vertical="center"/>
      <protection locked="0"/>
    </xf>
    <xf numFmtId="0" fontId="1" fillId="0" borderId="63" xfId="54" applyFont="1" applyBorder="1" applyAlignment="1" applyProtection="1">
      <alignment horizontal="right"/>
      <protection/>
    </xf>
    <xf numFmtId="0" fontId="1" fillId="0" borderId="53" xfId="54" applyFont="1" applyBorder="1" applyAlignment="1" applyProtection="1">
      <alignment horizontal="center" vertical="center"/>
      <protection locked="0"/>
    </xf>
    <xf numFmtId="0" fontId="1" fillId="0" borderId="59" xfId="54" applyFont="1" applyBorder="1" applyAlignment="1" applyProtection="1">
      <alignment horizontal="right"/>
      <protection/>
    </xf>
    <xf numFmtId="0" fontId="1" fillId="0" borderId="54" xfId="54" applyFont="1" applyBorder="1" applyAlignment="1" applyProtection="1">
      <alignment horizontal="center" vertical="center"/>
      <protection locked="0"/>
    </xf>
    <xf numFmtId="0" fontId="1" fillId="0" borderId="61" xfId="54" applyFont="1" applyBorder="1" applyAlignment="1" applyProtection="1">
      <alignment horizontal="right"/>
      <protection/>
    </xf>
    <xf numFmtId="0" fontId="24" fillId="0" borderId="0" xfId="54" applyFont="1" applyBorder="1" applyAlignment="1" applyProtection="1">
      <alignment horizontal="center"/>
      <protection locked="0"/>
    </xf>
    <xf numFmtId="0" fontId="1" fillId="0" borderId="63" xfId="54" applyBorder="1" applyProtection="1">
      <alignment/>
      <protection locked="0"/>
    </xf>
    <xf numFmtId="0" fontId="1" fillId="0" borderId="64" xfId="54" applyBorder="1" applyProtection="1">
      <alignment/>
      <protection locked="0"/>
    </xf>
    <xf numFmtId="0" fontId="1" fillId="0" borderId="65" xfId="54" applyBorder="1" applyProtection="1">
      <alignment/>
      <protection locked="0"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102" xfId="0" applyFont="1" applyBorder="1" applyAlignment="1" applyProtection="1">
      <alignment horizontal="center"/>
      <protection locked="0"/>
    </xf>
    <xf numFmtId="0" fontId="6" fillId="0" borderId="103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4" fillId="0" borderId="104" xfId="0" applyFont="1" applyFill="1" applyBorder="1" applyAlignment="1" applyProtection="1">
      <alignment horizontal="center"/>
      <protection locked="0"/>
    </xf>
    <xf numFmtId="0" fontId="4" fillId="0" borderId="105" xfId="0" applyFont="1" applyFill="1" applyBorder="1" applyAlignment="1" applyProtection="1">
      <alignment horizontal="center"/>
      <protection locked="0"/>
    </xf>
    <xf numFmtId="0" fontId="4" fillId="0" borderId="106" xfId="0" applyFont="1" applyFill="1" applyBorder="1" applyAlignment="1" applyProtection="1">
      <alignment horizontal="center"/>
      <protection locked="0"/>
    </xf>
    <xf numFmtId="165" fontId="28" fillId="0" borderId="107" xfId="0" applyNumberFormat="1" applyFont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 locked="0"/>
    </xf>
    <xf numFmtId="0" fontId="4" fillId="36" borderId="108" xfId="0" applyFont="1" applyFill="1" applyBorder="1" applyAlignment="1">
      <alignment horizontal="center"/>
    </xf>
    <xf numFmtId="0" fontId="4" fillId="36" borderId="109" xfId="0" applyFont="1" applyFill="1" applyBorder="1" applyAlignment="1">
      <alignment horizontal="center"/>
    </xf>
    <xf numFmtId="0" fontId="4" fillId="36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37" borderId="112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37" borderId="114" xfId="0" applyFont="1" applyFill="1" applyBorder="1" applyAlignment="1">
      <alignment horizontal="center"/>
    </xf>
    <xf numFmtId="3" fontId="4" fillId="0" borderId="115" xfId="0" applyNumberFormat="1" applyFont="1" applyBorder="1" applyAlignment="1">
      <alignment horizontal="center"/>
    </xf>
    <xf numFmtId="0" fontId="4" fillId="37" borderId="116" xfId="0" applyFont="1" applyFill="1" applyBorder="1" applyAlignment="1">
      <alignment horizontal="center"/>
    </xf>
    <xf numFmtId="3" fontId="4" fillId="0" borderId="115" xfId="0" applyNumberFormat="1" applyFont="1" applyFill="1" applyBorder="1" applyAlignment="1">
      <alignment horizontal="center"/>
    </xf>
    <xf numFmtId="3" fontId="4" fillId="0" borderId="117" xfId="0" applyNumberFormat="1" applyFont="1" applyFill="1" applyBorder="1" applyAlignment="1">
      <alignment horizontal="center"/>
    </xf>
    <xf numFmtId="0" fontId="4" fillId="37" borderId="118" xfId="0" applyFont="1" applyFill="1" applyBorder="1" applyAlignment="1">
      <alignment horizontal="center"/>
    </xf>
    <xf numFmtId="0" fontId="4" fillId="0" borderId="119" xfId="0" applyNumberFormat="1" applyFont="1" applyFill="1" applyBorder="1" applyAlignment="1" applyProtection="1">
      <alignment horizontal="center"/>
      <protection locked="0"/>
    </xf>
    <xf numFmtId="0" fontId="4" fillId="0" borderId="120" xfId="0" applyNumberFormat="1" applyFont="1" applyFill="1" applyBorder="1" applyAlignment="1" applyProtection="1">
      <alignment horizontal="center"/>
      <protection locked="0"/>
    </xf>
    <xf numFmtId="0" fontId="4" fillId="0" borderId="121" xfId="0" applyNumberFormat="1" applyFont="1" applyFill="1" applyBorder="1" applyAlignment="1" applyProtection="1">
      <alignment horizontal="center"/>
      <protection locked="0"/>
    </xf>
    <xf numFmtId="49" fontId="4" fillId="0" borderId="121" xfId="0" applyNumberFormat="1" applyFont="1" applyFill="1" applyBorder="1" applyAlignment="1" applyProtection="1">
      <alignment horizontal="center"/>
      <protection locked="0"/>
    </xf>
    <xf numFmtId="0" fontId="4" fillId="0" borderId="122" xfId="0" applyFont="1" applyFill="1" applyBorder="1" applyAlignment="1" applyProtection="1">
      <alignment horizontal="center"/>
      <protection locked="0"/>
    </xf>
    <xf numFmtId="0" fontId="4" fillId="0" borderId="123" xfId="0" applyNumberFormat="1" applyFont="1" applyFill="1" applyBorder="1" applyAlignment="1" applyProtection="1">
      <alignment horizontal="center"/>
      <protection locked="0"/>
    </xf>
    <xf numFmtId="0" fontId="4" fillId="0" borderId="124" xfId="0" applyFont="1" applyFill="1" applyBorder="1" applyAlignment="1" applyProtection="1">
      <alignment horizontal="center"/>
      <protection locked="0"/>
    </xf>
    <xf numFmtId="0" fontId="4" fillId="0" borderId="125" xfId="0" applyNumberFormat="1" applyFont="1" applyFill="1" applyBorder="1" applyAlignment="1" applyProtection="1">
      <alignment horizontal="center"/>
      <protection locked="0"/>
    </xf>
    <xf numFmtId="0" fontId="4" fillId="0" borderId="126" xfId="0" applyNumberFormat="1" applyFont="1" applyFill="1" applyBorder="1" applyAlignment="1" applyProtection="1">
      <alignment horizontal="center"/>
      <protection locked="0"/>
    </xf>
    <xf numFmtId="0" fontId="4" fillId="0" borderId="127" xfId="0" applyNumberFormat="1" applyFont="1" applyFill="1" applyBorder="1" applyAlignment="1" applyProtection="1">
      <alignment horizontal="center"/>
      <protection locked="0"/>
    </xf>
    <xf numFmtId="49" fontId="4" fillId="0" borderId="127" xfId="0" applyNumberFormat="1" applyFont="1" applyFill="1" applyBorder="1" applyAlignment="1" applyProtection="1">
      <alignment horizontal="center"/>
      <protection locked="0"/>
    </xf>
    <xf numFmtId="0" fontId="4" fillId="0" borderId="128" xfId="0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4" fillId="0" borderId="100" xfId="0" applyFont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99" xfId="0" applyNumberFormat="1" applyFont="1" applyBorder="1" applyAlignment="1" applyProtection="1">
      <alignment horizontal="center" vertical="center"/>
      <protection locked="0"/>
    </xf>
    <xf numFmtId="3" fontId="4" fillId="35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4" fillId="0" borderId="12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4" fillId="34" borderId="28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" fontId="4" fillId="0" borderId="16" xfId="0" applyNumberFormat="1" applyFont="1" applyBorder="1" applyAlignment="1" applyProtection="1">
      <alignment vertical="center"/>
      <protection locked="0"/>
    </xf>
    <xf numFmtId="1" fontId="4" fillId="0" borderId="38" xfId="0" applyNumberFormat="1" applyFont="1" applyBorder="1" applyAlignment="1" applyProtection="1">
      <alignment vertical="center"/>
      <protection locked="0"/>
    </xf>
    <xf numFmtId="0" fontId="8" fillId="0" borderId="75" xfId="0" applyFont="1" applyBorder="1" applyAlignment="1" applyProtection="1">
      <alignment horizontal="left" vertical="top"/>
      <protection locked="0"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center" vertical="center"/>
    </xf>
    <xf numFmtId="0" fontId="4" fillId="0" borderId="1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0" borderId="13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9" fillId="0" borderId="100" xfId="46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textRotation="90" wrapText="1"/>
      <protection locked="0"/>
    </xf>
    <xf numFmtId="0" fontId="14" fillId="0" borderId="0" xfId="0" applyFont="1" applyBorder="1" applyAlignment="1" applyProtection="1">
      <alignment horizontal="center" textRotation="90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shrinkToFit="1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textRotation="9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16" fillId="0" borderId="76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9" fillId="0" borderId="131" xfId="46" applyNumberFormat="1" applyFont="1" applyFill="1" applyBorder="1" applyAlignment="1" applyProtection="1">
      <alignment horizontal="center"/>
      <protection/>
    </xf>
    <xf numFmtId="0" fontId="17" fillId="0" borderId="100" xfId="0" applyFont="1" applyBorder="1" applyAlignment="1" applyProtection="1">
      <alignment horizontal="center"/>
      <protection locked="0"/>
    </xf>
    <xf numFmtId="0" fontId="18" fillId="0" borderId="100" xfId="0" applyFont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0" borderId="15" xfId="53" applyFont="1" applyBorder="1" applyAlignment="1" applyProtection="1">
      <alignment horizontal="left"/>
      <protection locked="0"/>
    </xf>
    <xf numFmtId="0" fontId="4" fillId="0" borderId="77" xfId="53" applyFont="1" applyBorder="1" applyAlignment="1" applyProtection="1">
      <alignment horizontal="left"/>
      <protection locked="0"/>
    </xf>
    <xf numFmtId="0" fontId="4" fillId="0" borderId="20" xfId="53" applyFont="1" applyBorder="1" applyAlignment="1" applyProtection="1">
      <alignment horizontal="left"/>
      <protection locked="0"/>
    </xf>
    <xf numFmtId="0" fontId="4" fillId="0" borderId="15" xfId="53" applyFont="1" applyBorder="1" applyAlignment="1" applyProtection="1">
      <alignment horizontal="left" vertical="center"/>
      <protection locked="0"/>
    </xf>
    <xf numFmtId="0" fontId="4" fillId="0" borderId="78" xfId="53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5" fillId="0" borderId="43" xfId="0" applyNumberFormat="1" applyFont="1" applyBorder="1" applyAlignment="1" applyProtection="1">
      <alignment horizontal="right" vertical="center"/>
      <protection locked="0"/>
    </xf>
    <xf numFmtId="49" fontId="15" fillId="0" borderId="31" xfId="0" applyNumberFormat="1" applyFont="1" applyBorder="1" applyAlignment="1" applyProtection="1">
      <alignment horizontal="right" vertical="center"/>
      <protection locked="0"/>
    </xf>
    <xf numFmtId="0" fontId="9" fillId="0" borderId="0" xfId="46" applyNumberFormat="1" applyFont="1" applyFill="1" applyBorder="1" applyAlignment="1" applyProtection="1">
      <alignment horizontal="center"/>
      <protection/>
    </xf>
    <xf numFmtId="49" fontId="28" fillId="0" borderId="132" xfId="0" applyNumberFormat="1" applyFont="1" applyBorder="1" applyAlignment="1" applyProtection="1">
      <alignment horizontal="center" vertical="justify"/>
      <protection locked="0"/>
    </xf>
    <xf numFmtId="49" fontId="28" fillId="0" borderId="133" xfId="0" applyNumberFormat="1" applyFont="1" applyBorder="1" applyAlignment="1" applyProtection="1">
      <alignment horizontal="center" vertical="justify"/>
      <protection locked="0"/>
    </xf>
    <xf numFmtId="0" fontId="19" fillId="0" borderId="0" xfId="55" applyFont="1" applyFill="1" applyBorder="1" applyAlignment="1">
      <alignment horizontal="center"/>
      <protection/>
    </xf>
    <xf numFmtId="0" fontId="4" fillId="0" borderId="69" xfId="55" applyFont="1" applyFill="1" applyBorder="1" applyAlignment="1">
      <alignment horizontal="left"/>
      <protection/>
    </xf>
    <xf numFmtId="0" fontId="21" fillId="0" borderId="0" xfId="55" applyFont="1" applyFill="1" applyBorder="1" applyAlignment="1">
      <alignment horizontal="center"/>
      <protection/>
    </xf>
    <xf numFmtId="0" fontId="15" fillId="33" borderId="134" xfId="55" applyFont="1" applyFill="1" applyBorder="1" applyAlignment="1">
      <alignment horizontal="center" vertical="top" wrapText="1"/>
      <protection/>
    </xf>
    <xf numFmtId="0" fontId="15" fillId="33" borderId="81" xfId="55" applyFont="1" applyFill="1" applyBorder="1" applyAlignment="1">
      <alignment horizontal="center" vertical="top" wrapText="1"/>
      <protection/>
    </xf>
    <xf numFmtId="0" fontId="15" fillId="33" borderId="82" xfId="55" applyFont="1" applyFill="1" applyBorder="1" applyAlignment="1">
      <alignment horizontal="center" vertical="top" wrapText="1"/>
      <protection/>
    </xf>
    <xf numFmtId="0" fontId="4" fillId="0" borderId="130" xfId="55" applyFont="1" applyFill="1" applyBorder="1" applyAlignment="1">
      <alignment horizontal="center"/>
      <protection/>
    </xf>
    <xf numFmtId="0" fontId="4" fillId="0" borderId="62" xfId="55" applyFont="1" applyFill="1" applyBorder="1" applyAlignment="1">
      <alignment horizontal="center"/>
      <protection/>
    </xf>
    <xf numFmtId="49" fontId="4" fillId="0" borderId="16" xfId="55" applyNumberFormat="1" applyFont="1" applyFill="1" applyBorder="1" applyAlignment="1" applyProtection="1">
      <alignment horizontal="center"/>
      <protection locked="0"/>
    </xf>
    <xf numFmtId="0" fontId="4" fillId="0" borderId="53" xfId="55" applyFont="1" applyFill="1" applyBorder="1" applyAlignment="1" applyProtection="1">
      <alignment horizontal="center"/>
      <protection locked="0"/>
    </xf>
    <xf numFmtId="0" fontId="4" fillId="0" borderId="54" xfId="55" applyFont="1" applyFill="1" applyBorder="1" applyAlignment="1" applyProtection="1">
      <alignment horizontal="center"/>
      <protection locked="0"/>
    </xf>
    <xf numFmtId="0" fontId="4" fillId="0" borderId="74" xfId="55" applyFont="1" applyFill="1" applyBorder="1" applyAlignment="1">
      <alignment horizontal="center"/>
      <protection/>
    </xf>
    <xf numFmtId="49" fontId="4" fillId="0" borderId="38" xfId="55" applyNumberFormat="1" applyFont="1" applyFill="1" applyBorder="1" applyAlignment="1" applyProtection="1">
      <alignment horizontal="center"/>
      <protection locked="0"/>
    </xf>
    <xf numFmtId="0" fontId="1" fillId="34" borderId="31" xfId="54" applyFont="1" applyFill="1" applyBorder="1" applyAlignment="1" applyProtection="1">
      <alignment horizontal="center"/>
      <protection locked="0"/>
    </xf>
    <xf numFmtId="0" fontId="1" fillId="0" borderId="36" xfId="54" applyFont="1" applyBorder="1" applyAlignment="1" applyProtection="1">
      <alignment horizontal="center"/>
      <protection locked="0"/>
    </xf>
    <xf numFmtId="0" fontId="1" fillId="0" borderId="21" xfId="54" applyFont="1" applyBorder="1" applyAlignment="1" applyProtection="1">
      <alignment horizontal="center"/>
      <protection locked="0"/>
    </xf>
    <xf numFmtId="0" fontId="1" fillId="0" borderId="27" xfId="54" applyFont="1" applyBorder="1" applyAlignment="1" applyProtection="1">
      <alignment horizontal="center"/>
      <protection locked="0"/>
    </xf>
    <xf numFmtId="0" fontId="1" fillId="34" borderId="31" xfId="54" applyFont="1" applyFill="1" applyBorder="1" applyAlignment="1" applyProtection="1">
      <alignment horizontal="center"/>
      <protection/>
    </xf>
    <xf numFmtId="0" fontId="1" fillId="0" borderId="53" xfId="54" applyFont="1" applyBorder="1" applyAlignment="1" applyProtection="1">
      <alignment horizontal="left"/>
      <protection/>
    </xf>
    <xf numFmtId="0" fontId="24" fillId="33" borderId="31" xfId="54" applyFont="1" applyFill="1" applyBorder="1" applyAlignment="1" applyProtection="1">
      <alignment horizontal="center" vertical="center"/>
      <protection/>
    </xf>
    <xf numFmtId="0" fontId="24" fillId="33" borderId="30" xfId="54" applyFont="1" applyFill="1" applyBorder="1" applyAlignment="1" applyProtection="1">
      <alignment horizontal="center" vertical="center"/>
      <protection/>
    </xf>
    <xf numFmtId="0" fontId="24" fillId="33" borderId="48" xfId="54" applyFont="1" applyFill="1" applyBorder="1" applyAlignment="1" applyProtection="1">
      <alignment horizontal="center" vertical="center"/>
      <protection/>
    </xf>
    <xf numFmtId="0" fontId="24" fillId="33" borderId="50" xfId="54" applyFont="1" applyFill="1" applyBorder="1" applyAlignment="1" applyProtection="1">
      <alignment horizontal="center" vertical="center"/>
      <protection/>
    </xf>
    <xf numFmtId="0" fontId="1" fillId="33" borderId="31" xfId="54" applyFont="1" applyFill="1" applyBorder="1" applyAlignment="1" applyProtection="1">
      <alignment horizontal="center"/>
      <protection locked="0"/>
    </xf>
    <xf numFmtId="0" fontId="1" fillId="0" borderId="13" xfId="54" applyBorder="1" applyAlignment="1" applyProtection="1">
      <alignment horizontal="center" vertical="center"/>
      <protection locked="0"/>
    </xf>
    <xf numFmtId="0" fontId="1" fillId="0" borderId="14" xfId="54" applyBorder="1" applyAlignment="1" applyProtection="1">
      <alignment horizontal="center" vertical="center"/>
      <protection locked="0"/>
    </xf>
    <xf numFmtId="0" fontId="1" fillId="0" borderId="131" xfId="54" applyFont="1" applyBorder="1" applyAlignment="1" applyProtection="1">
      <alignment horizontal="center" vertical="center" textRotation="90"/>
      <protection locked="0"/>
    </xf>
    <xf numFmtId="0" fontId="1" fillId="0" borderId="16" xfId="54" applyFont="1" applyBorder="1" applyAlignment="1" applyProtection="1">
      <alignment horizontal="center" vertical="center"/>
      <protection/>
    </xf>
    <xf numFmtId="0" fontId="1" fillId="0" borderId="17" xfId="54" applyFont="1" applyBorder="1" applyAlignment="1" applyProtection="1">
      <alignment horizontal="right" vertical="center"/>
      <protection/>
    </xf>
    <xf numFmtId="0" fontId="1" fillId="0" borderId="16" xfId="54" applyBorder="1" applyAlignment="1" applyProtection="1">
      <alignment horizontal="center"/>
      <protection locked="0"/>
    </xf>
    <xf numFmtId="0" fontId="1" fillId="0" borderId="16" xfId="54" applyBorder="1" applyAlignment="1" applyProtection="1">
      <alignment horizontal="center" vertical="center"/>
      <protection locked="0"/>
    </xf>
    <xf numFmtId="0" fontId="1" fillId="0" borderId="17" xfId="54" applyBorder="1" applyAlignment="1" applyProtection="1">
      <alignment horizontal="center" vertical="center"/>
      <protection locked="0"/>
    </xf>
    <xf numFmtId="0" fontId="1" fillId="0" borderId="42" xfId="54" applyBorder="1" applyAlignment="1" applyProtection="1">
      <alignment horizontal="center"/>
      <protection locked="0"/>
    </xf>
    <xf numFmtId="0" fontId="1" fillId="0" borderId="18" xfId="54" applyBorder="1" applyAlignment="1" applyProtection="1">
      <alignment horizontal="center"/>
      <protection locked="0"/>
    </xf>
    <xf numFmtId="0" fontId="1" fillId="0" borderId="13" xfId="54" applyFont="1" applyBorder="1" applyAlignment="1" applyProtection="1">
      <alignment horizontal="center" vertical="center"/>
      <protection/>
    </xf>
    <xf numFmtId="0" fontId="1" fillId="0" borderId="14" xfId="54" applyFont="1" applyBorder="1" applyAlignment="1" applyProtection="1">
      <alignment horizontal="right" vertical="center"/>
      <protection/>
    </xf>
    <xf numFmtId="0" fontId="1" fillId="0" borderId="130" xfId="54" applyBorder="1" applyAlignment="1" applyProtection="1">
      <alignment horizontal="center"/>
      <protection locked="0"/>
    </xf>
    <xf numFmtId="0" fontId="1" fillId="0" borderId="38" xfId="54" applyFont="1" applyBorder="1" applyAlignment="1" applyProtection="1">
      <alignment horizontal="center" vertical="center"/>
      <protection/>
    </xf>
    <xf numFmtId="0" fontId="1" fillId="0" borderId="39" xfId="54" applyFont="1" applyBorder="1" applyAlignment="1" applyProtection="1">
      <alignment horizontal="right" vertical="center"/>
      <protection/>
    </xf>
    <xf numFmtId="0" fontId="1" fillId="0" borderId="38" xfId="54" applyBorder="1" applyAlignment="1" applyProtection="1">
      <alignment horizontal="center"/>
      <protection locked="0"/>
    </xf>
    <xf numFmtId="0" fontId="1" fillId="0" borderId="22" xfId="54" applyBorder="1" applyAlignment="1" applyProtection="1">
      <alignment horizontal="center" vertical="center"/>
      <protection locked="0"/>
    </xf>
    <xf numFmtId="0" fontId="1" fillId="0" borderId="23" xfId="54" applyBorder="1" applyAlignment="1" applyProtection="1">
      <alignment horizontal="center" vertical="center"/>
      <protection locked="0"/>
    </xf>
    <xf numFmtId="0" fontId="24" fillId="0" borderId="62" xfId="54" applyFont="1" applyBorder="1" applyAlignment="1" applyProtection="1">
      <alignment horizontal="center"/>
      <protection locked="0"/>
    </xf>
    <xf numFmtId="0" fontId="1" fillId="0" borderId="13" xfId="54" applyBorder="1" applyAlignment="1" applyProtection="1">
      <alignment horizontal="center"/>
      <protection locked="0"/>
    </xf>
    <xf numFmtId="0" fontId="1" fillId="0" borderId="14" xfId="54" applyBorder="1" applyAlignment="1" applyProtection="1">
      <alignment horizontal="center"/>
      <protection locked="0"/>
    </xf>
    <xf numFmtId="0" fontId="1" fillId="0" borderId="131" xfId="54" applyFont="1" applyBorder="1" applyAlignment="1" applyProtection="1">
      <alignment horizontal="center" vertical="top" textRotation="90" wrapText="1"/>
      <protection locked="0"/>
    </xf>
    <xf numFmtId="0" fontId="25" fillId="0" borderId="67" xfId="54" applyFont="1" applyBorder="1" applyAlignment="1" applyProtection="1">
      <alignment horizontal="left"/>
      <protection locked="0"/>
    </xf>
    <xf numFmtId="0" fontId="1" fillId="0" borderId="17" xfId="54" applyBorder="1" applyAlignment="1" applyProtection="1">
      <alignment horizontal="center"/>
      <protection locked="0"/>
    </xf>
    <xf numFmtId="0" fontId="1" fillId="0" borderId="100" xfId="54" applyFont="1" applyBorder="1" applyAlignment="1" applyProtection="1">
      <alignment horizontal="center"/>
      <protection/>
    </xf>
    <xf numFmtId="0" fontId="1" fillId="0" borderId="39" xfId="54" applyBorder="1" applyAlignment="1" applyProtection="1">
      <alignment horizontal="center"/>
      <protection locked="0"/>
    </xf>
    <xf numFmtId="0" fontId="1" fillId="0" borderId="0" xfId="54" applyFont="1" applyBorder="1" applyAlignment="1" applyProtection="1">
      <alignment horizontal="right"/>
      <protection locked="0"/>
    </xf>
    <xf numFmtId="1" fontId="1" fillId="0" borderId="25" xfId="54" applyNumberForma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Ausrüstungsliste Medivh" xfId="53"/>
    <cellStyle name="Standard_Formeln und solo_Block" xfId="54"/>
    <cellStyle name="Standard_Veränderliche Wert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12</xdr:row>
      <xdr:rowOff>28575</xdr:rowOff>
    </xdr:from>
    <xdr:to>
      <xdr:col>12</xdr:col>
      <xdr:colOff>266700</xdr:colOff>
      <xdr:row>26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047875"/>
          <a:ext cx="1590675" cy="2381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I23" sqref="I23"/>
    </sheetView>
  </sheetViews>
  <sheetFormatPr defaultColWidth="7.00390625" defaultRowHeight="12.75" customHeight="1"/>
  <cols>
    <col min="1" max="1" width="2.625" style="1" customWidth="1"/>
    <col min="2" max="13" width="7.00390625" style="1" customWidth="1"/>
    <col min="14" max="14" width="2.75390625" style="1" customWidth="1"/>
    <col min="15" max="16384" width="7.00390625" style="1" customWidth="1"/>
  </cols>
  <sheetData>
    <row r="1" spans="1:14" ht="12.7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12.7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s="5" customFormat="1" ht="12.75" customHeight="1">
      <c r="A4" s="452" t="s">
        <v>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s="5" customFormat="1" ht="18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5" customFormat="1" ht="12.75" customHeight="1">
      <c r="A6" s="6"/>
      <c r="B6" s="453" t="s">
        <v>2</v>
      </c>
      <c r="C6" s="453"/>
      <c r="D6" s="453"/>
      <c r="E6" s="453"/>
      <c r="F6" s="453"/>
      <c r="G6" s="9" t="s">
        <v>3</v>
      </c>
      <c r="H6" s="454"/>
      <c r="I6" s="454"/>
      <c r="J6" s="454"/>
      <c r="K6" s="10"/>
      <c r="L6" s="11" t="s">
        <v>4</v>
      </c>
      <c r="M6" s="12">
        <f>UrVIP+StufenVIP</f>
        <v>164</v>
      </c>
      <c r="N6" s="8"/>
    </row>
    <row r="7" spans="1:14" s="5" customFormat="1" ht="12.75" customHeight="1">
      <c r="A7" s="6"/>
      <c r="B7" s="9" t="s">
        <v>5</v>
      </c>
      <c r="C7" s="455" t="s">
        <v>6</v>
      </c>
      <c r="D7" s="455"/>
      <c r="E7" s="455"/>
      <c r="F7" s="455"/>
      <c r="G7" s="13" t="s">
        <v>7</v>
      </c>
      <c r="H7" s="456" t="s">
        <v>8</v>
      </c>
      <c r="I7" s="456"/>
      <c r="J7" s="456"/>
      <c r="K7" s="10"/>
      <c r="L7" s="14" t="s">
        <v>9</v>
      </c>
      <c r="M7" s="15">
        <f>IF(AW_1+VW_1&gt;0,(AW_1+VW_1)*50,0)</f>
        <v>1550</v>
      </c>
      <c r="N7" s="8"/>
    </row>
    <row r="8" spans="1:14" s="5" customFormat="1" ht="12.75" customHeight="1">
      <c r="A8" s="6"/>
      <c r="B8" s="16" t="s">
        <v>10</v>
      </c>
      <c r="C8" s="457" t="s">
        <v>11</v>
      </c>
      <c r="D8" s="457"/>
      <c r="E8" s="457"/>
      <c r="F8" s="457"/>
      <c r="G8" s="13" t="s">
        <v>12</v>
      </c>
      <c r="H8" s="456" t="s">
        <v>13</v>
      </c>
      <c r="I8" s="456"/>
      <c r="J8" s="456"/>
      <c r="K8" s="10"/>
      <c r="L8" s="17" t="s">
        <v>14</v>
      </c>
      <c r="M8" s="18">
        <f>IF(AUSD&lt;=30,AUSD*10,(30*10)+((AUSD-30)*30))-(R_BKAP1+R_BKAP2+R_BKAP3)-Waffengewicht+BKAP_Bonus</f>
        <v>100</v>
      </c>
      <c r="N8" s="8"/>
    </row>
    <row r="9" spans="1:14" s="5" customFormat="1" ht="12.75" customHeight="1">
      <c r="A9" s="6"/>
      <c r="B9" s="16" t="s">
        <v>15</v>
      </c>
      <c r="C9" s="457" t="s">
        <v>16</v>
      </c>
      <c r="D9" s="457"/>
      <c r="E9" s="457"/>
      <c r="F9" s="457"/>
      <c r="G9" s="19" t="s">
        <v>17</v>
      </c>
      <c r="H9" s="458" t="s">
        <v>295</v>
      </c>
      <c r="I9" s="458"/>
      <c r="J9" s="458"/>
      <c r="K9" s="10"/>
      <c r="L9" s="21" t="s">
        <v>18</v>
      </c>
      <c r="M9" s="18">
        <f>IF(TAK+AUSD+KK+GE&gt;=100,AW_1-10,0)</f>
        <v>0</v>
      </c>
      <c r="N9" s="8"/>
    </row>
    <row r="10" spans="1:14" s="5" customFormat="1" ht="12.75" customHeight="1">
      <c r="A10" s="6"/>
      <c r="B10" s="16" t="s">
        <v>19</v>
      </c>
      <c r="C10" s="457" t="s">
        <v>20</v>
      </c>
      <c r="D10" s="457"/>
      <c r="E10" s="22" t="s">
        <v>21</v>
      </c>
      <c r="F10" s="23" t="s">
        <v>22</v>
      </c>
      <c r="G10" s="13" t="s">
        <v>23</v>
      </c>
      <c r="H10" s="24">
        <v>29</v>
      </c>
      <c r="I10" s="22" t="s">
        <v>24</v>
      </c>
      <c r="J10" s="25">
        <f>IF(KK+AUSD&gt;0,(KK+AUSD-11)*1000,0)+(IF(AUSD&gt;30,(AUSD-30)*2000,0))</f>
        <v>30000</v>
      </c>
      <c r="K10" s="10"/>
      <c r="L10" s="26" t="s">
        <v>25</v>
      </c>
      <c r="M10" s="27">
        <f>IF(BE+ROUNDDOWN(IF(AUSD+GE+KF&gt;54,(AUSD+GE+KF-50)/5,0),0)&gt;VW_1,VW_1,BE+ROUNDDOWN(IF(AUSD+GE+KF&gt;54,(AUSD+GE+KF-50)/5,0),0))</f>
        <v>7</v>
      </c>
      <c r="N10" s="8"/>
    </row>
    <row r="11" spans="1:14" s="5" customFormat="1" ht="12.75" customHeight="1">
      <c r="A11" s="6"/>
      <c r="B11" s="28" t="s">
        <v>26</v>
      </c>
      <c r="C11" s="459" t="s">
        <v>27</v>
      </c>
      <c r="D11" s="459"/>
      <c r="E11" s="29" t="s">
        <v>28</v>
      </c>
      <c r="F11" s="30" t="s">
        <v>29</v>
      </c>
      <c r="G11" s="28" t="s">
        <v>30</v>
      </c>
      <c r="H11" s="31"/>
      <c r="I11" s="32" t="s">
        <v>31</v>
      </c>
      <c r="J11" s="33">
        <f>Gesamtgewicht</f>
        <v>10305</v>
      </c>
      <c r="K11" s="34"/>
      <c r="L11" s="35" t="s">
        <v>32</v>
      </c>
      <c r="M11" s="36"/>
      <c r="N11" s="8"/>
    </row>
    <row r="12" spans="1:14" s="5" customFormat="1" ht="12.75" customHeight="1">
      <c r="A12" s="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8"/>
    </row>
    <row r="13" spans="1:14" s="5" customFormat="1" ht="12.75" customHeight="1">
      <c r="A13" s="6"/>
      <c r="B13" s="38" t="s">
        <v>33</v>
      </c>
      <c r="C13" s="39" t="s">
        <v>34</v>
      </c>
      <c r="D13" s="39" t="s">
        <v>35</v>
      </c>
      <c r="E13" s="40" t="s">
        <v>36</v>
      </c>
      <c r="F13" s="10"/>
      <c r="G13" s="41" t="s">
        <v>37</v>
      </c>
      <c r="H13" s="42" t="s">
        <v>38</v>
      </c>
      <c r="I13" s="43"/>
      <c r="J13" s="44"/>
      <c r="K13" s="45"/>
      <c r="L13" s="45"/>
      <c r="M13" s="46"/>
      <c r="N13" s="8"/>
    </row>
    <row r="14" spans="1:14" s="5" customFormat="1" ht="12.75" customHeight="1">
      <c r="A14" s="6"/>
      <c r="B14" s="9" t="s">
        <v>39</v>
      </c>
      <c r="C14" s="47">
        <v>17</v>
      </c>
      <c r="D14" s="48">
        <v>3</v>
      </c>
      <c r="E14" s="49">
        <v>20</v>
      </c>
      <c r="F14" s="10"/>
      <c r="G14" s="50">
        <f>VLOOKUP(WEP_Punkte,Stufentabelle!B5:C204,2,TRUE)</f>
        <v>9</v>
      </c>
      <c r="H14" s="51">
        <f>VLOOKUP(KEP_Punkte,Stufentabelle!E5:F204,2,TRUE)</f>
        <v>8</v>
      </c>
      <c r="I14" s="10"/>
      <c r="J14" s="52"/>
      <c r="K14" s="53"/>
      <c r="L14" s="53"/>
      <c r="M14" s="54"/>
      <c r="N14" s="8"/>
    </row>
    <row r="15" spans="1:14" s="5" customFormat="1" ht="12.75" customHeight="1">
      <c r="A15" s="6"/>
      <c r="B15" s="16" t="s">
        <v>40</v>
      </c>
      <c r="C15" s="55">
        <v>13</v>
      </c>
      <c r="D15" s="56"/>
      <c r="E15" s="57">
        <v>13</v>
      </c>
      <c r="F15" s="10"/>
      <c r="G15" s="460" t="s">
        <v>41</v>
      </c>
      <c r="H15" s="460"/>
      <c r="I15" s="43"/>
      <c r="J15" s="52"/>
      <c r="K15" s="53"/>
      <c r="L15" s="53"/>
      <c r="M15" s="54"/>
      <c r="N15" s="8"/>
    </row>
    <row r="16" spans="1:14" s="5" customFormat="1" ht="12.75" customHeight="1">
      <c r="A16" s="6"/>
      <c r="B16" s="16" t="s">
        <v>42</v>
      </c>
      <c r="C16" s="55">
        <v>12</v>
      </c>
      <c r="D16" s="56">
        <v>1</v>
      </c>
      <c r="E16" s="57">
        <v>13</v>
      </c>
      <c r="F16" s="10"/>
      <c r="G16" s="461">
        <v>1700</v>
      </c>
      <c r="H16" s="461"/>
      <c r="I16" s="58"/>
      <c r="J16" s="59"/>
      <c r="K16" s="53"/>
      <c r="L16" s="53"/>
      <c r="M16" s="54"/>
      <c r="N16" s="8"/>
    </row>
    <row r="17" spans="1:14" s="5" customFormat="1" ht="12.75" customHeight="1">
      <c r="A17" s="6"/>
      <c r="B17" s="16" t="s">
        <v>43</v>
      </c>
      <c r="C17" s="55">
        <v>18</v>
      </c>
      <c r="D17" s="56">
        <v>4</v>
      </c>
      <c r="E17" s="57">
        <v>22</v>
      </c>
      <c r="F17" s="10"/>
      <c r="G17" s="462"/>
      <c r="H17" s="462"/>
      <c r="I17" s="58"/>
      <c r="J17" s="59"/>
      <c r="K17" s="53"/>
      <c r="L17" s="53"/>
      <c r="M17" s="54"/>
      <c r="N17" s="8"/>
    </row>
    <row r="18" spans="1:14" s="5" customFormat="1" ht="12.75" customHeight="1">
      <c r="A18" s="6"/>
      <c r="B18" s="16" t="s">
        <v>44</v>
      </c>
      <c r="C18" s="55">
        <v>16</v>
      </c>
      <c r="D18" s="56">
        <v>3</v>
      </c>
      <c r="E18" s="57">
        <v>19</v>
      </c>
      <c r="F18" s="10"/>
      <c r="G18" s="463" t="s">
        <v>45</v>
      </c>
      <c r="H18" s="463"/>
      <c r="I18" s="58"/>
      <c r="J18" s="59"/>
      <c r="K18" s="53"/>
      <c r="L18" s="53"/>
      <c r="M18" s="54"/>
      <c r="N18" s="8"/>
    </row>
    <row r="19" spans="1:14" s="5" customFormat="1" ht="12.75" customHeight="1">
      <c r="A19" s="6"/>
      <c r="B19" s="16" t="s">
        <v>46</v>
      </c>
      <c r="C19" s="55">
        <v>19</v>
      </c>
      <c r="D19" s="56">
        <v>3</v>
      </c>
      <c r="E19" s="57">
        <v>22</v>
      </c>
      <c r="F19" s="10"/>
      <c r="G19" s="464">
        <v>5600</v>
      </c>
      <c r="H19" s="464"/>
      <c r="I19" s="43"/>
      <c r="J19" s="52"/>
      <c r="K19" s="53"/>
      <c r="L19" s="53"/>
      <c r="M19" s="54"/>
      <c r="N19" s="8"/>
    </row>
    <row r="20" spans="1:14" s="5" customFormat="1" ht="12.75" customHeight="1">
      <c r="A20" s="6"/>
      <c r="B20" s="28" t="s">
        <v>47</v>
      </c>
      <c r="C20" s="60">
        <v>18</v>
      </c>
      <c r="D20" s="61">
        <v>1</v>
      </c>
      <c r="E20" s="62">
        <v>19</v>
      </c>
      <c r="F20" s="10"/>
      <c r="G20" s="465"/>
      <c r="H20" s="465"/>
      <c r="I20" s="43"/>
      <c r="J20" s="63"/>
      <c r="K20" s="43"/>
      <c r="L20" s="64"/>
      <c r="M20" s="65"/>
      <c r="N20" s="8"/>
    </row>
    <row r="21" spans="1:14" s="5" customFormat="1" ht="12.75" customHeight="1">
      <c r="A21" s="6"/>
      <c r="B21" s="37"/>
      <c r="C21" s="37"/>
      <c r="D21" s="37"/>
      <c r="E21" s="37"/>
      <c r="F21" s="37"/>
      <c r="G21" s="37"/>
      <c r="H21" s="37"/>
      <c r="I21" s="10"/>
      <c r="J21" s="52"/>
      <c r="K21" s="43"/>
      <c r="L21" s="43"/>
      <c r="M21" s="66"/>
      <c r="N21" s="8"/>
    </row>
    <row r="22" spans="1:14" s="5" customFormat="1" ht="12.75" customHeight="1">
      <c r="A22" s="6"/>
      <c r="F22" s="37"/>
      <c r="G22" s="22" t="s">
        <v>48</v>
      </c>
      <c r="H22" s="67">
        <f>IF(UrINS+INS_Bonus+IF(GE&gt;18,GE-18,0)&gt;30,30,UrINS+INS_Bonus+IF(GE&gt;18,GE-18,0))</f>
        <v>18</v>
      </c>
      <c r="I22" s="10"/>
      <c r="J22" s="68"/>
      <c r="K22" s="43"/>
      <c r="L22" s="53"/>
      <c r="M22" s="54"/>
      <c r="N22" s="8"/>
    </row>
    <row r="23" spans="1:14" s="5" customFormat="1" ht="12.75" customHeight="1">
      <c r="A23" s="6"/>
      <c r="B23" s="466" t="s">
        <v>49</v>
      </c>
      <c r="C23" s="466"/>
      <c r="D23" s="69" t="s">
        <v>50</v>
      </c>
      <c r="E23" s="40" t="s">
        <v>36</v>
      </c>
      <c r="F23" s="43"/>
      <c r="G23" s="70" t="s">
        <v>51</v>
      </c>
      <c r="H23" s="71">
        <v>194</v>
      </c>
      <c r="I23" s="10"/>
      <c r="J23" s="68"/>
      <c r="K23" s="43"/>
      <c r="L23" s="53"/>
      <c r="M23" s="54"/>
      <c r="N23" s="8"/>
    </row>
    <row r="24" spans="1:14" s="5" customFormat="1" ht="12.75" customHeight="1">
      <c r="A24" s="6"/>
      <c r="B24" s="467" t="s">
        <v>52</v>
      </c>
      <c r="C24" s="467"/>
      <c r="D24" s="72">
        <v>25</v>
      </c>
      <c r="E24" s="73">
        <f>IF(UrRZ1+IF(AUSD&gt;17,(AUSD-17)*5,0)&gt;90,90,UrRZ1+IF(AUSD&gt;17,(AUSD-17)*5,0))</f>
        <v>35</v>
      </c>
      <c r="F24" s="43"/>
      <c r="G24" s="70" t="s">
        <v>53</v>
      </c>
      <c r="H24" s="71">
        <f>IF(ST_Bonus+ROUNDDOWN((WEI+TAK)/2,0)&gt;30,30,ST_Bonus+ROUNDDOWN((WEI+TAK)/2,0))</f>
        <v>18</v>
      </c>
      <c r="I24" s="10"/>
      <c r="J24" s="68"/>
      <c r="K24" s="43"/>
      <c r="L24" s="53"/>
      <c r="M24" s="54"/>
      <c r="N24" s="8"/>
    </row>
    <row r="25" spans="1:14" s="5" customFormat="1" ht="12.75" customHeight="1">
      <c r="A25" s="6"/>
      <c r="B25" s="468" t="s">
        <v>54</v>
      </c>
      <c r="C25" s="468"/>
      <c r="D25" s="74">
        <v>30</v>
      </c>
      <c r="E25" s="57">
        <f>IF(UrRZ2+IF(AUSD&gt;17,(AUSD-17)*5,0)&gt;90,90,UrRZ2+IF(AUSD&gt;17,(AUSD-17)*5,0))</f>
        <v>40</v>
      </c>
      <c r="F25" s="43"/>
      <c r="G25" s="70" t="s">
        <v>55</v>
      </c>
      <c r="H25" s="71">
        <v>0</v>
      </c>
      <c r="I25" s="10"/>
      <c r="J25" s="68"/>
      <c r="K25" s="43"/>
      <c r="L25" s="53"/>
      <c r="M25" s="54"/>
      <c r="N25" s="8"/>
    </row>
    <row r="26" spans="1:14" s="5" customFormat="1" ht="12.75" customHeight="1">
      <c r="A26" s="6"/>
      <c r="B26" s="468" t="s">
        <v>56</v>
      </c>
      <c r="C26" s="468"/>
      <c r="D26" s="74">
        <v>25</v>
      </c>
      <c r="E26" s="57">
        <f>IF(UrRZ3+IF(WEI&gt;17,(WEI-17)*5,0)&gt;90,90,UrRZ3+IF(WEI&gt;17,(WEI-17)*5,0))</f>
        <v>25</v>
      </c>
      <c r="F26" s="43"/>
      <c r="G26" s="70" t="s">
        <v>57</v>
      </c>
      <c r="H26" s="71" t="s">
        <v>58</v>
      </c>
      <c r="I26" s="10"/>
      <c r="J26" s="68"/>
      <c r="K26" s="43"/>
      <c r="L26" s="53"/>
      <c r="M26" s="54"/>
      <c r="N26" s="8"/>
    </row>
    <row r="27" spans="1:14" s="5" customFormat="1" ht="12.75" customHeight="1">
      <c r="A27" s="6"/>
      <c r="B27" s="469" t="s">
        <v>59</v>
      </c>
      <c r="C27" s="469"/>
      <c r="D27" s="50">
        <v>20</v>
      </c>
      <c r="E27" s="62">
        <f>IF(UrRZ4+IF(WEI&gt;17,(WEI-17)*5,0)&gt;90,90,UrRZ4+IF(WEI&gt;17,(WEI-17)*5,0))</f>
        <v>20</v>
      </c>
      <c r="F27" s="43"/>
      <c r="G27" s="29" t="s">
        <v>60</v>
      </c>
      <c r="H27" s="75">
        <f>IF(KF_Bonus+ROUND(((IF(ST&gt;=5,ST-5,0))+KL+WEI+TAK)/4,0)&gt;30,30,KF_Bonus+ROUND(((IF(ST&gt;=5,ST-5,0))+KL+WEI+TAK)/4,0))</f>
        <v>15</v>
      </c>
      <c r="I27" s="10"/>
      <c r="J27" s="76"/>
      <c r="K27" s="77"/>
      <c r="L27" s="78"/>
      <c r="M27" s="79"/>
      <c r="N27" s="8"/>
    </row>
    <row r="28" spans="1:14" s="5" customFormat="1" ht="12.75" customHeight="1">
      <c r="A28" s="6"/>
      <c r="B28" s="37"/>
      <c r="C28" s="37"/>
      <c r="D28" s="37" t="s">
        <v>61</v>
      </c>
      <c r="E28" s="37"/>
      <c r="F28" s="37"/>
      <c r="G28" s="37"/>
      <c r="H28" s="37"/>
      <c r="I28" s="80"/>
      <c r="J28" s="80"/>
      <c r="K28" s="80"/>
      <c r="L28" s="81"/>
      <c r="M28" s="37"/>
      <c r="N28" s="8"/>
    </row>
    <row r="29" spans="1:14" s="5" customFormat="1" ht="12.75" customHeight="1">
      <c r="A29" s="6"/>
      <c r="B29" s="453" t="s">
        <v>62</v>
      </c>
      <c r="C29" s="453"/>
      <c r="D29" s="82" t="s">
        <v>63</v>
      </c>
      <c r="E29" s="83" t="s">
        <v>64</v>
      </c>
      <c r="F29" s="83" t="s">
        <v>65</v>
      </c>
      <c r="G29" s="83" t="s">
        <v>66</v>
      </c>
      <c r="H29" s="84" t="s">
        <v>67</v>
      </c>
      <c r="I29" s="85" t="s">
        <v>68</v>
      </c>
      <c r="J29" s="10"/>
      <c r="K29" s="86" t="s">
        <v>69</v>
      </c>
      <c r="L29" s="470" t="s">
        <v>70</v>
      </c>
      <c r="M29" s="470"/>
      <c r="N29" s="8"/>
    </row>
    <row r="30" spans="1:14" s="5" customFormat="1" ht="12.75" customHeight="1">
      <c r="A30" s="6"/>
      <c r="B30" s="471" t="s">
        <v>71</v>
      </c>
      <c r="C30" s="471"/>
      <c r="D30" s="87" t="s">
        <v>296</v>
      </c>
      <c r="E30" s="88">
        <v>9</v>
      </c>
      <c r="F30" s="88">
        <v>6</v>
      </c>
      <c r="G30" s="89">
        <f>IF(BE_Bonus+BBE+IF(GE&gt;15,ROUNDDOWN((GE-15)/3,0),0)&gt;17,17,BE_Bonus+BBE+IF(GE&gt;15,ROUNDDOWN((GE-15)/3,0),0))</f>
        <v>7</v>
      </c>
      <c r="H30" s="90">
        <v>80</v>
      </c>
      <c r="I30" s="91">
        <v>170</v>
      </c>
      <c r="J30" s="10"/>
      <c r="K30" s="467" t="s">
        <v>72</v>
      </c>
      <c r="L30" s="467"/>
      <c r="M30" s="92">
        <v>3</v>
      </c>
      <c r="N30" s="8"/>
    </row>
    <row r="31" spans="1:14" s="5" customFormat="1" ht="12.75" customHeight="1">
      <c r="A31" s="6"/>
      <c r="B31" s="472" t="s">
        <v>73</v>
      </c>
      <c r="C31" s="472"/>
      <c r="D31" s="93" t="s">
        <v>74</v>
      </c>
      <c r="E31" s="94">
        <v>7</v>
      </c>
      <c r="F31" s="95"/>
      <c r="G31" s="95"/>
      <c r="H31" s="95"/>
      <c r="I31" s="96">
        <v>160</v>
      </c>
      <c r="J31" s="10"/>
      <c r="K31" s="468" t="s">
        <v>75</v>
      </c>
      <c r="L31" s="468"/>
      <c r="M31" s="20">
        <v>4</v>
      </c>
      <c r="N31" s="8"/>
    </row>
    <row r="32" spans="1:14" s="5" customFormat="1" ht="12.75" customHeight="1">
      <c r="A32" s="6"/>
      <c r="B32" s="473"/>
      <c r="C32" s="473"/>
      <c r="D32" s="97"/>
      <c r="E32" s="98"/>
      <c r="F32" s="99"/>
      <c r="G32" s="99"/>
      <c r="H32" s="99"/>
      <c r="I32" s="100"/>
      <c r="J32" s="10"/>
      <c r="K32" s="469" t="s">
        <v>76</v>
      </c>
      <c r="L32" s="469"/>
      <c r="M32" s="101">
        <f>Schild</f>
        <v>22</v>
      </c>
      <c r="N32" s="8"/>
    </row>
    <row r="33" spans="1:14" s="5" customFormat="1" ht="12.75" customHeight="1">
      <c r="A33" s="6"/>
      <c r="B33" s="7"/>
      <c r="C33" s="7"/>
      <c r="D33" s="474"/>
      <c r="E33" s="474"/>
      <c r="F33" s="474"/>
      <c r="G33" s="7"/>
      <c r="H33" s="7"/>
      <c r="I33" s="7"/>
      <c r="J33" s="7"/>
      <c r="K33" s="7"/>
      <c r="L33" s="7"/>
      <c r="M33" s="7"/>
      <c r="N33" s="8"/>
    </row>
    <row r="34" spans="1:14" s="5" customFormat="1" ht="12.75" customHeight="1">
      <c r="A34" s="6"/>
      <c r="B34" s="475" t="s">
        <v>77</v>
      </c>
      <c r="C34" s="475"/>
      <c r="D34" s="102" t="s">
        <v>68</v>
      </c>
      <c r="E34" s="103" t="s">
        <v>78</v>
      </c>
      <c r="F34" s="104" t="s">
        <v>79</v>
      </c>
      <c r="G34" s="102" t="s">
        <v>80</v>
      </c>
      <c r="H34" s="105" t="s">
        <v>81</v>
      </c>
      <c r="I34" s="106" t="s">
        <v>82</v>
      </c>
      <c r="J34" s="107" t="s">
        <v>83</v>
      </c>
      <c r="K34" s="102" t="s">
        <v>84</v>
      </c>
      <c r="L34" s="102" t="s">
        <v>85</v>
      </c>
      <c r="M34" s="106" t="s">
        <v>86</v>
      </c>
      <c r="N34" s="8"/>
    </row>
    <row r="35" spans="1:14" s="5" customFormat="1" ht="12.75" customHeight="1">
      <c r="A35" s="6"/>
      <c r="B35" s="476" t="s">
        <v>87</v>
      </c>
      <c r="C35" s="476"/>
      <c r="D35" s="108">
        <v>125</v>
      </c>
      <c r="E35" s="109" t="s">
        <v>88</v>
      </c>
      <c r="F35" s="110">
        <f>TAK+INS+BE+IW_Bonus+IW_HKW</f>
        <v>62</v>
      </c>
      <c r="G35" s="108">
        <f>KKB_Bonus+KKB_HKW+IF(KK&gt;=17,ROUNDDOWN((KK-15)/2,0),0)</f>
        <v>5</v>
      </c>
      <c r="H35" s="111" t="s">
        <v>89</v>
      </c>
      <c r="I35" s="112">
        <v>11</v>
      </c>
      <c r="J35" s="110">
        <f aca="true" t="shared" si="0" ref="J35:J40">IF(StufenAW+ROUND((TAK*2+AUSD+KK+GE+BBE)/6,0)&gt;27,27,StufenAW+ROUND((TAK*2+AUSD+KK+GE+BBE)/6,0))</f>
        <v>21</v>
      </c>
      <c r="K35" s="108">
        <f aca="true" t="shared" si="1" ref="K35:K40">IF(StufenVW+IF(WEI&gt;=1,ROUND((IF(WEI+INS+KF-21&gt;=0,WEI+INS+KF-21,0))/6,0)+ROUND(IF(GE&gt;15,(GE-15+BBE)/2,BBE/2),0),0)&gt;25,25,StufenVW+IF(WEI&gt;=1,ROUND((IF(WEI+INS+KF-21&gt;=0,WEI+INS+KF-21,0))/6,0)+ROUND(IF(GE&gt;15,(GE-15+BBE)/2,BBE/2),0),0))</f>
        <v>10</v>
      </c>
      <c r="L35" s="108">
        <f>IF(AW_1&gt;=10,VLOOKUP(AW_1,Formeln!$B$23:$I$40,HKW,FALSE),0)</f>
        <v>5</v>
      </c>
      <c r="M35" s="112">
        <f>IF(VW_1&gt;=10,VLOOKUP(VW_1,Formeln!$K$23:$R$38,HKW,FALSE),0)</f>
        <v>3</v>
      </c>
      <c r="N35" s="8"/>
    </row>
    <row r="36" spans="1:14" s="5" customFormat="1" ht="12.75" customHeight="1">
      <c r="A36" s="6"/>
      <c r="B36" s="477" t="s">
        <v>90</v>
      </c>
      <c r="C36" s="477"/>
      <c r="D36" s="113">
        <v>40</v>
      </c>
      <c r="E36" s="114" t="s">
        <v>91</v>
      </c>
      <c r="F36" s="115">
        <f>TAK+INS+BE+IW_Bonus+IW_NW1</f>
        <v>65</v>
      </c>
      <c r="G36" s="113">
        <f>KKB_Bonus+KKB_1+IF(KK&gt;=17,ROUNDDOWN((KK-15)/2,0),0)</f>
        <v>2</v>
      </c>
      <c r="H36" s="116" t="s">
        <v>92</v>
      </c>
      <c r="I36" s="117">
        <f>BSP_Bonus+BSP_1+IF(KK&gt;=16,ROUNDDOWN((KK-14)/2,0),0)</f>
        <v>9</v>
      </c>
      <c r="J36" s="115">
        <f t="shared" si="0"/>
        <v>21</v>
      </c>
      <c r="K36" s="113">
        <f t="shared" si="1"/>
        <v>10</v>
      </c>
      <c r="L36" s="113">
        <f>IF(AW_2&gt;=10,VLOOKUP(AW_2,Formeln!$B$23:$I$40,NW_1,FALSE),0)</f>
        <v>4</v>
      </c>
      <c r="M36" s="118">
        <f>IF(VW_2&gt;=10,VLOOKUP(VW_2,Formeln!$K$23:$R$38,NW_1,FALSE),0)</f>
        <v>2</v>
      </c>
      <c r="N36" s="8"/>
    </row>
    <row r="37" spans="1:14" s="5" customFormat="1" ht="12.75" customHeight="1">
      <c r="A37" s="6"/>
      <c r="B37" s="477"/>
      <c r="C37" s="477"/>
      <c r="D37" s="113"/>
      <c r="E37" s="114"/>
      <c r="F37" s="119">
        <f>TAK+INS+BE+IW_Bonus+IW_NW2</f>
        <v>47</v>
      </c>
      <c r="G37" s="120">
        <f>KKB_Bonus+KKB_2+IF(KK&gt;=17,ROUNDDOWN((KK-15)/2,0),0)</f>
        <v>4</v>
      </c>
      <c r="H37" s="121"/>
      <c r="I37" s="122">
        <f>BSP_Bonus+BSP_2+IF(KK&gt;=16,ROUNDDOWN((KK-14)/2,0),0)</f>
        <v>6</v>
      </c>
      <c r="J37" s="119">
        <f t="shared" si="0"/>
        <v>21</v>
      </c>
      <c r="K37" s="120">
        <f t="shared" si="1"/>
        <v>10</v>
      </c>
      <c r="L37" s="120">
        <f>IF(AW_3&gt;=10,VLOOKUP(AW_3,Formeln!$B$23:$I$40,NW_2,FALSE),0)</f>
        <v>0</v>
      </c>
      <c r="M37" s="123">
        <f>IF(VW_3&gt;=10,VLOOKUP(VW_3,Formeln!$K$23:$R$38,NW_2,FALSE),0)</f>
        <v>0</v>
      </c>
      <c r="N37" s="8"/>
    </row>
    <row r="38" spans="1:14" s="5" customFormat="1" ht="12.75" customHeight="1">
      <c r="A38" s="6"/>
      <c r="B38" s="478"/>
      <c r="C38" s="478"/>
      <c r="D38" s="113"/>
      <c r="E38" s="114"/>
      <c r="F38" s="119">
        <f>TAK+INS+BE+IW_Bonus+IW_NW3</f>
        <v>47</v>
      </c>
      <c r="G38" s="120">
        <f>KKB_Bonus+KKB_3+IF(KK&gt;=17,ROUNDDOWN((KK-15)/2,0),0)</f>
        <v>4</v>
      </c>
      <c r="H38" s="124"/>
      <c r="I38" s="123">
        <f>BSP_Bonus+BSP_3+IF(KK&gt;=16,ROUNDDOWN((KK-14)/2,0),0)</f>
        <v>6</v>
      </c>
      <c r="J38" s="119">
        <f t="shared" si="0"/>
        <v>21</v>
      </c>
      <c r="K38" s="120">
        <f t="shared" si="1"/>
        <v>10</v>
      </c>
      <c r="L38" s="120">
        <f>IF(AW_4&gt;=10,VLOOKUP(AW_4,Formeln!$B$23:$I$40,NW_3,FALSE),0)</f>
        <v>0</v>
      </c>
      <c r="M38" s="123">
        <f>IF(VW_4&gt;=10,VLOOKUP(VW_4,Formeln!$K$23:$R$38,NW_3,FALSE),0)</f>
        <v>0</v>
      </c>
      <c r="N38" s="8"/>
    </row>
    <row r="39" spans="1:14" s="5" customFormat="1" ht="12.75" customHeight="1">
      <c r="A39" s="6"/>
      <c r="B39" s="478"/>
      <c r="C39" s="478"/>
      <c r="D39" s="113"/>
      <c r="E39" s="114"/>
      <c r="F39" s="119">
        <f>TAK+INS+BE+IW_Bonus+IW_NW4</f>
        <v>47</v>
      </c>
      <c r="G39" s="120">
        <f>KKB_Bonus+KKB_4+IF(KK&gt;=17,ROUNDDOWN((KK-15)/2,0),0)</f>
        <v>4</v>
      </c>
      <c r="H39" s="124"/>
      <c r="I39" s="123">
        <f>BSP_Bonus+BSP_4+IF(KK&gt;=16,ROUNDDOWN((KK-14)/2,0),0)</f>
        <v>6</v>
      </c>
      <c r="J39" s="119">
        <f t="shared" si="0"/>
        <v>21</v>
      </c>
      <c r="K39" s="120">
        <f t="shared" si="1"/>
        <v>10</v>
      </c>
      <c r="L39" s="120">
        <f>IF(AW_5&gt;=10,VLOOKUP(AW_5,Formeln!$B$23:$I$40,NW_4,FALSE),0)</f>
        <v>0</v>
      </c>
      <c r="M39" s="123">
        <f>IF(VW_5&gt;=10,VLOOKUP(VW_5,Formeln!$K$23:$R$38,NW_4,FALSE),0)</f>
        <v>0</v>
      </c>
      <c r="N39" s="8"/>
    </row>
    <row r="40" spans="1:14" s="5" customFormat="1" ht="12.75" customHeight="1">
      <c r="A40" s="6"/>
      <c r="B40" s="478"/>
      <c r="C40" s="478"/>
      <c r="D40" s="113"/>
      <c r="E40" s="114"/>
      <c r="F40" s="119">
        <f>TAK+INS+BE+IW_Bonus+IW_NW5</f>
        <v>47</v>
      </c>
      <c r="G40" s="120">
        <f>KKB_Bonus+KKB_5+IF(KK&gt;=17,ROUNDDOWN((KK-15)/2,0),0)</f>
        <v>4</v>
      </c>
      <c r="H40" s="124"/>
      <c r="I40" s="123">
        <f>BSP_Bonus+BSP_5+IF(KK&gt;=16,ROUNDDOWN((KK-14)/2,0),0)</f>
        <v>6</v>
      </c>
      <c r="J40" s="119">
        <f t="shared" si="0"/>
        <v>21</v>
      </c>
      <c r="K40" s="125">
        <f t="shared" si="1"/>
        <v>10</v>
      </c>
      <c r="L40" s="125">
        <f>IF(AW_6&gt;=10,VLOOKUP(AW_6,Formeln!$B$23:$I$40,NW_5,FALSE),0)</f>
        <v>0</v>
      </c>
      <c r="M40" s="126">
        <f>IF(VW_6&gt;=10,VLOOKUP(VW_6,Formeln!$K$23:$R$38,NW_5,FALSE),0)</f>
        <v>0</v>
      </c>
      <c r="N40" s="8"/>
    </row>
    <row r="41" spans="1:14" s="5" customFormat="1" ht="12.75" customHeight="1">
      <c r="A41" s="6"/>
      <c r="B41" s="479" t="s">
        <v>93</v>
      </c>
      <c r="C41" s="479"/>
      <c r="D41" s="127"/>
      <c r="E41" s="128"/>
      <c r="F41" s="129">
        <f>TAK+INS+BE+IW_Bonus+Ringkampf</f>
        <v>62</v>
      </c>
      <c r="G41" s="127">
        <f>KKB_Bonus+IF(KK&gt;=17,ROUNDDOWN((KK-15)/2,0),0)</f>
        <v>4</v>
      </c>
      <c r="H41" s="127" t="s">
        <v>89</v>
      </c>
      <c r="I41" s="130">
        <f>BSP_Bonus+IF(KK&gt;=16,ROUNDDOWN((KK-14)/2,0),0)</f>
        <v>6</v>
      </c>
      <c r="J41" s="131">
        <f>Ringkampf</f>
        <v>15</v>
      </c>
      <c r="K41" s="132" t="s">
        <v>94</v>
      </c>
      <c r="L41" s="133">
        <f>BE</f>
        <v>7</v>
      </c>
      <c r="M41" s="134">
        <f>Ringkampf-2</f>
        <v>13</v>
      </c>
      <c r="N41" s="8"/>
    </row>
    <row r="42" spans="1:14" s="5" customFormat="1" ht="12.75" customHeight="1">
      <c r="A42" s="6"/>
      <c r="B42" s="7"/>
      <c r="C42" s="7"/>
      <c r="D42" s="7"/>
      <c r="E42" s="7"/>
      <c r="F42" s="7"/>
      <c r="G42" s="7"/>
      <c r="H42" s="135"/>
      <c r="I42" s="7"/>
      <c r="J42" s="7"/>
      <c r="K42" s="480" t="s">
        <v>95</v>
      </c>
      <c r="L42" s="480"/>
      <c r="M42" s="480"/>
      <c r="N42" s="8"/>
    </row>
    <row r="43" spans="1:14" s="5" customFormat="1" ht="12.75" customHeight="1">
      <c r="A43" s="6"/>
      <c r="B43" s="481" t="s">
        <v>96</v>
      </c>
      <c r="C43" s="481"/>
      <c r="D43" s="481"/>
      <c r="E43" s="136" t="s">
        <v>97</v>
      </c>
      <c r="F43" s="137" t="s">
        <v>68</v>
      </c>
      <c r="G43" s="138" t="s">
        <v>79</v>
      </c>
      <c r="H43" s="136" t="s">
        <v>80</v>
      </c>
      <c r="I43" s="136" t="s">
        <v>81</v>
      </c>
      <c r="J43" s="139" t="s">
        <v>82</v>
      </c>
      <c r="K43" s="140" t="s">
        <v>83</v>
      </c>
      <c r="L43" s="482" t="s">
        <v>98</v>
      </c>
      <c r="M43" s="482"/>
      <c r="N43" s="8"/>
    </row>
    <row r="44" spans="1:14" s="5" customFormat="1" ht="12.75" customHeight="1">
      <c r="A44" s="6"/>
      <c r="B44" s="483"/>
      <c r="C44" s="483"/>
      <c r="D44" s="483"/>
      <c r="E44" s="141"/>
      <c r="F44" s="142"/>
      <c r="G44" s="143">
        <f>TAK+INS+BE+IW_Bonus+AW_FKW</f>
        <v>61</v>
      </c>
      <c r="H44" s="108">
        <f>KKB_Bonus+KKB_6+IF(KK&gt;=17,ROUNDDOWN((KK-15)/2,0),0)</f>
        <v>4</v>
      </c>
      <c r="I44" s="144" t="s">
        <v>99</v>
      </c>
      <c r="J44" s="145">
        <f>BSP_Bonus+BSP_6+IF(KK&gt;=16,ROUNDDOWN((KK-14)/2,0),0)</f>
        <v>6</v>
      </c>
      <c r="K44" s="146">
        <f>AW_FKW</f>
        <v>14</v>
      </c>
      <c r="L44" s="144"/>
      <c r="M44" s="145"/>
      <c r="N44" s="8"/>
    </row>
    <row r="45" spans="1:14" s="5" customFormat="1" ht="12.75" customHeight="1">
      <c r="A45" s="6"/>
      <c r="B45" s="484"/>
      <c r="C45" s="484"/>
      <c r="D45" s="484"/>
      <c r="E45" s="95"/>
      <c r="F45" s="147"/>
      <c r="G45" s="148"/>
      <c r="H45" s="149">
        <f>KKB_Bonus+KKB_7+IF(KK&gt;=17,ROUNDDOWN((KK-15)/2,0),0)</f>
        <v>4</v>
      </c>
      <c r="I45" s="150"/>
      <c r="J45" s="151">
        <f>BSP_Bonus+BSP_7+IF(KK&gt;=16,ROUNDDOWN((KK-14)/2,0),0)</f>
        <v>6</v>
      </c>
      <c r="K45" s="152"/>
      <c r="L45" s="153"/>
      <c r="M45" s="154"/>
      <c r="N45" s="8"/>
    </row>
    <row r="46" spans="1:14" s="5" customFormat="1" ht="12.75" customHeight="1">
      <c r="A46" s="6"/>
      <c r="B46" s="484"/>
      <c r="C46" s="484"/>
      <c r="D46" s="484"/>
      <c r="E46" s="95"/>
      <c r="F46" s="147"/>
      <c r="G46" s="148"/>
      <c r="H46" s="149">
        <f>KKB_Bonus+KKB_8+IF(KK&gt;=17,ROUNDDOWN((KK-15)/2,0),0)</f>
        <v>4</v>
      </c>
      <c r="I46" s="150"/>
      <c r="J46" s="151">
        <f>BSP_Bonus+BSP_8+IF(KK&gt;=16,ROUNDDOWN((KK-14)/2,0),0)</f>
        <v>6</v>
      </c>
      <c r="K46" s="152"/>
      <c r="L46" s="153"/>
      <c r="M46" s="154"/>
      <c r="N46" s="8"/>
    </row>
    <row r="47" spans="1:14" s="5" customFormat="1" ht="12.75" customHeight="1">
      <c r="A47" s="6"/>
      <c r="B47" s="485"/>
      <c r="C47" s="485"/>
      <c r="D47" s="485"/>
      <c r="E47" s="99"/>
      <c r="F47" s="155"/>
      <c r="G47" s="156"/>
      <c r="H47" s="157">
        <f>KKB_Bonus+KKB_9+IF(KK&gt;=17,ROUNDDOWN((KK-15)/2,0),0)</f>
        <v>4</v>
      </c>
      <c r="I47" s="158"/>
      <c r="J47" s="159">
        <f>BSP_Bonus+BSP_9+IF(KK&gt;=16,ROUNDDOWN((KK-14)/2,0),0)</f>
        <v>6</v>
      </c>
      <c r="K47" s="156"/>
      <c r="L47" s="99"/>
      <c r="M47" s="100"/>
      <c r="N47" s="8"/>
    </row>
    <row r="48" spans="1:14" s="5" customFormat="1" ht="12.75" customHeight="1">
      <c r="A48" s="6"/>
      <c r="B48" s="10"/>
      <c r="C48" s="10"/>
      <c r="D48" s="10"/>
      <c r="E48" s="10"/>
      <c r="F48" s="10"/>
      <c r="G48" s="10"/>
      <c r="H48" s="37"/>
      <c r="I48" s="10"/>
      <c r="J48" s="10"/>
      <c r="K48" s="10"/>
      <c r="L48" s="10"/>
      <c r="M48" s="10"/>
      <c r="N48" s="8"/>
    </row>
    <row r="49" spans="1:14" s="5" customFormat="1" ht="12.75" customHeight="1">
      <c r="A49" s="6"/>
      <c r="B49" s="466" t="s">
        <v>100</v>
      </c>
      <c r="C49" s="466"/>
      <c r="D49" s="466"/>
      <c r="E49" s="454"/>
      <c r="F49" s="454"/>
      <c r="G49" s="454"/>
      <c r="H49" s="37"/>
      <c r="I49" s="486" t="s">
        <v>101</v>
      </c>
      <c r="J49" s="486"/>
      <c r="K49" s="486"/>
      <c r="L49" s="486"/>
      <c r="M49" s="486"/>
      <c r="N49" s="8"/>
    </row>
    <row r="50" spans="1:14" s="5" customFormat="1" ht="12.75" customHeight="1">
      <c r="A50" s="6"/>
      <c r="B50" s="487"/>
      <c r="C50" s="487"/>
      <c r="D50" s="487"/>
      <c r="E50" s="488"/>
      <c r="F50" s="488"/>
      <c r="G50" s="488"/>
      <c r="H50" s="37"/>
      <c r="I50" s="489" t="s">
        <v>102</v>
      </c>
      <c r="J50" s="489"/>
      <c r="K50" s="489"/>
      <c r="L50" s="489"/>
      <c r="M50" s="489"/>
      <c r="N50" s="8"/>
    </row>
    <row r="51" spans="1:14" s="5" customFormat="1" ht="12.75" customHeight="1">
      <c r="A51" s="6"/>
      <c r="B51" s="490"/>
      <c r="C51" s="490"/>
      <c r="D51" s="490"/>
      <c r="E51" s="488"/>
      <c r="F51" s="488"/>
      <c r="G51" s="488"/>
      <c r="H51" s="37"/>
      <c r="I51" s="491" t="s">
        <v>103</v>
      </c>
      <c r="J51" s="491"/>
      <c r="K51" s="491"/>
      <c r="L51" s="491"/>
      <c r="M51" s="491"/>
      <c r="N51" s="8"/>
    </row>
    <row r="52" spans="1:14" s="5" customFormat="1" ht="12.75" customHeight="1">
      <c r="A52" s="6"/>
      <c r="B52" s="490"/>
      <c r="C52" s="490"/>
      <c r="D52" s="490"/>
      <c r="E52" s="488"/>
      <c r="F52" s="488"/>
      <c r="G52" s="488"/>
      <c r="H52" s="37"/>
      <c r="I52" s="491" t="s">
        <v>104</v>
      </c>
      <c r="J52" s="491"/>
      <c r="K52" s="491"/>
      <c r="L52" s="491"/>
      <c r="M52" s="491"/>
      <c r="N52" s="8"/>
    </row>
    <row r="53" spans="1:14" s="5" customFormat="1" ht="12.75" customHeight="1">
      <c r="A53" s="6"/>
      <c r="B53" s="490"/>
      <c r="C53" s="490"/>
      <c r="D53" s="490"/>
      <c r="E53" s="488"/>
      <c r="F53" s="488"/>
      <c r="G53" s="488"/>
      <c r="H53" s="37"/>
      <c r="I53" s="491" t="s">
        <v>105</v>
      </c>
      <c r="J53" s="491"/>
      <c r="K53" s="491"/>
      <c r="L53" s="491"/>
      <c r="M53" s="491"/>
      <c r="N53" s="8"/>
    </row>
    <row r="54" spans="1:14" s="5" customFormat="1" ht="12.75" customHeight="1">
      <c r="A54" s="6"/>
      <c r="B54" s="490"/>
      <c r="C54" s="490"/>
      <c r="D54" s="490"/>
      <c r="E54" s="488"/>
      <c r="F54" s="488"/>
      <c r="G54" s="488"/>
      <c r="H54" s="37"/>
      <c r="I54" s="491" t="s">
        <v>106</v>
      </c>
      <c r="J54" s="491"/>
      <c r="K54" s="491"/>
      <c r="L54" s="491"/>
      <c r="M54" s="491"/>
      <c r="N54" s="8"/>
    </row>
    <row r="55" spans="1:23" s="5" customFormat="1" ht="12.75" customHeight="1">
      <c r="A55" s="6"/>
      <c r="B55" s="490"/>
      <c r="C55" s="490"/>
      <c r="D55" s="490"/>
      <c r="E55" s="488"/>
      <c r="F55" s="488"/>
      <c r="G55" s="488"/>
      <c r="H55" s="160"/>
      <c r="I55" s="491" t="s">
        <v>107</v>
      </c>
      <c r="J55" s="491"/>
      <c r="K55" s="491"/>
      <c r="L55" s="491"/>
      <c r="M55" s="491"/>
      <c r="N55" s="8"/>
      <c r="Q55" s="161"/>
      <c r="R55" s="162"/>
      <c r="S55" s="162"/>
      <c r="T55" s="162"/>
      <c r="U55" s="162"/>
      <c r="V55" s="162"/>
      <c r="W55" s="162"/>
    </row>
    <row r="56" spans="1:23" s="5" customFormat="1" ht="12.75" customHeight="1">
      <c r="A56" s="6"/>
      <c r="B56" s="490"/>
      <c r="C56" s="490"/>
      <c r="D56" s="490"/>
      <c r="E56" s="488"/>
      <c r="F56" s="488"/>
      <c r="G56" s="488"/>
      <c r="H56" s="160"/>
      <c r="I56" s="491" t="s">
        <v>108</v>
      </c>
      <c r="J56" s="491"/>
      <c r="K56" s="491"/>
      <c r="L56" s="491"/>
      <c r="M56" s="491"/>
      <c r="N56" s="8"/>
      <c r="Q56" s="161"/>
      <c r="R56" s="162"/>
      <c r="S56" s="162"/>
      <c r="T56" s="162"/>
      <c r="U56" s="162"/>
      <c r="V56" s="162"/>
      <c r="W56" s="162"/>
    </row>
    <row r="57" spans="1:23" s="5" customFormat="1" ht="12.75" customHeight="1">
      <c r="A57" s="6"/>
      <c r="B57" s="490"/>
      <c r="C57" s="490"/>
      <c r="D57" s="490"/>
      <c r="E57" s="488"/>
      <c r="F57" s="488"/>
      <c r="G57" s="488"/>
      <c r="H57" s="160"/>
      <c r="I57" s="491" t="s">
        <v>109</v>
      </c>
      <c r="J57" s="491"/>
      <c r="K57" s="491"/>
      <c r="L57" s="491"/>
      <c r="M57" s="491"/>
      <c r="N57" s="8"/>
      <c r="Q57" s="161"/>
      <c r="R57" s="162"/>
      <c r="S57" s="162"/>
      <c r="T57" s="162"/>
      <c r="U57" s="162"/>
      <c r="V57" s="162"/>
      <c r="W57" s="162"/>
    </row>
    <row r="58" spans="1:23" s="5" customFormat="1" ht="12.75" customHeight="1">
      <c r="A58" s="6"/>
      <c r="B58" s="490"/>
      <c r="C58" s="490"/>
      <c r="D58" s="490"/>
      <c r="E58" s="488"/>
      <c r="F58" s="488"/>
      <c r="G58" s="488"/>
      <c r="H58" s="160"/>
      <c r="I58" s="491"/>
      <c r="J58" s="491"/>
      <c r="K58" s="491"/>
      <c r="L58" s="491"/>
      <c r="M58" s="491"/>
      <c r="N58" s="8"/>
      <c r="Q58" s="161"/>
      <c r="R58" s="162"/>
      <c r="S58" s="162"/>
      <c r="T58" s="162"/>
      <c r="U58" s="162"/>
      <c r="V58" s="162"/>
      <c r="W58" s="162"/>
    </row>
    <row r="59" spans="1:23" s="5" customFormat="1" ht="12.75" customHeight="1">
      <c r="A59" s="6"/>
      <c r="B59" s="495"/>
      <c r="C59" s="495"/>
      <c r="D59" s="495"/>
      <c r="E59" s="496"/>
      <c r="F59" s="496"/>
      <c r="G59" s="496"/>
      <c r="H59" s="160"/>
      <c r="I59" s="497"/>
      <c r="J59" s="497"/>
      <c r="K59" s="497"/>
      <c r="L59" s="497"/>
      <c r="M59" s="497"/>
      <c r="N59" s="8"/>
      <c r="Q59" s="161"/>
      <c r="R59" s="162"/>
      <c r="S59" s="162"/>
      <c r="T59" s="162"/>
      <c r="U59" s="162"/>
      <c r="V59" s="162"/>
      <c r="W59" s="162"/>
    </row>
    <row r="60" spans="1:23" s="5" customFormat="1" ht="12.75" customHeight="1">
      <c r="A60" s="6"/>
      <c r="B60" s="80"/>
      <c r="C60" s="80"/>
      <c r="D60" s="80"/>
      <c r="E60" s="80"/>
      <c r="F60" s="80"/>
      <c r="G60" s="80"/>
      <c r="H60" s="160"/>
      <c r="I60" s="163"/>
      <c r="J60" s="163"/>
      <c r="K60" s="163"/>
      <c r="L60" s="163"/>
      <c r="M60" s="163"/>
      <c r="N60" s="8"/>
      <c r="Q60" s="161"/>
      <c r="R60" s="162"/>
      <c r="S60" s="162"/>
      <c r="T60" s="162"/>
      <c r="U60" s="162"/>
      <c r="V60" s="162"/>
      <c r="W60" s="162"/>
    </row>
    <row r="61" spans="1:23" s="5" customFormat="1" ht="12.75" customHeight="1">
      <c r="A61" s="6"/>
      <c r="B61" s="164" t="s">
        <v>110</v>
      </c>
      <c r="C61" s="492"/>
      <c r="D61" s="492"/>
      <c r="E61" s="492"/>
      <c r="F61" s="492"/>
      <c r="G61" s="492"/>
      <c r="H61" s="165" t="s">
        <v>111</v>
      </c>
      <c r="I61" s="493"/>
      <c r="J61" s="493"/>
      <c r="K61" s="493"/>
      <c r="L61" s="493"/>
      <c r="M61" s="493"/>
      <c r="N61" s="8"/>
      <c r="Q61" s="161"/>
      <c r="R61" s="162"/>
      <c r="S61" s="162"/>
      <c r="T61" s="162"/>
      <c r="U61" s="162"/>
      <c r="V61" s="162"/>
      <c r="W61" s="162"/>
    </row>
    <row r="62" spans="1:23" s="5" customFormat="1" ht="12.75" customHeight="1">
      <c r="A62" s="494" t="s">
        <v>112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Q62" s="161"/>
      <c r="R62" s="162"/>
      <c r="S62" s="162"/>
      <c r="T62" s="162"/>
      <c r="U62" s="162"/>
      <c r="V62" s="162"/>
      <c r="W62" s="162"/>
    </row>
    <row r="63" spans="1:14" s="5" customFormat="1" ht="12.75" customHeight="1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8"/>
    </row>
  </sheetData>
  <sheetProtection selectLockedCells="1" selectUnlockedCells="1"/>
  <mergeCells count="83">
    <mergeCell ref="C61:G61"/>
    <mergeCell ref="I61:M61"/>
    <mergeCell ref="A62:N62"/>
    <mergeCell ref="B58:D58"/>
    <mergeCell ref="E58:G58"/>
    <mergeCell ref="I58:M58"/>
    <mergeCell ref="B59:D59"/>
    <mergeCell ref="E59:G59"/>
    <mergeCell ref="I59:M59"/>
    <mergeCell ref="B56:D56"/>
    <mergeCell ref="E56:G56"/>
    <mergeCell ref="I56:M56"/>
    <mergeCell ref="B57:D57"/>
    <mergeCell ref="E57:G57"/>
    <mergeCell ref="I57:M57"/>
    <mergeCell ref="B54:D54"/>
    <mergeCell ref="E54:G54"/>
    <mergeCell ref="I54:M54"/>
    <mergeCell ref="B55:D55"/>
    <mergeCell ref="E55:G55"/>
    <mergeCell ref="I55:M55"/>
    <mergeCell ref="B52:D52"/>
    <mergeCell ref="E52:G52"/>
    <mergeCell ref="I52:M52"/>
    <mergeCell ref="B53:D53"/>
    <mergeCell ref="E53:G53"/>
    <mergeCell ref="I53:M53"/>
    <mergeCell ref="I49:M49"/>
    <mergeCell ref="B50:D50"/>
    <mergeCell ref="E50:G50"/>
    <mergeCell ref="I50:M50"/>
    <mergeCell ref="B51:D51"/>
    <mergeCell ref="E51:G51"/>
    <mergeCell ref="I51:M51"/>
    <mergeCell ref="B44:D44"/>
    <mergeCell ref="B45:D45"/>
    <mergeCell ref="B46:D46"/>
    <mergeCell ref="B47:D47"/>
    <mergeCell ref="B49:D49"/>
    <mergeCell ref="E49:G49"/>
    <mergeCell ref="B39:C39"/>
    <mergeCell ref="B40:C40"/>
    <mergeCell ref="B41:C41"/>
    <mergeCell ref="K42:M42"/>
    <mergeCell ref="B43:D43"/>
    <mergeCell ref="L43:M43"/>
    <mergeCell ref="D33:F33"/>
    <mergeCell ref="B34:C34"/>
    <mergeCell ref="B35:C35"/>
    <mergeCell ref="B36:C36"/>
    <mergeCell ref="B37:C37"/>
    <mergeCell ref="B38:C38"/>
    <mergeCell ref="L29:M29"/>
    <mergeCell ref="B30:C30"/>
    <mergeCell ref="K30:L30"/>
    <mergeCell ref="B31:C31"/>
    <mergeCell ref="K31:L31"/>
    <mergeCell ref="B32:C32"/>
    <mergeCell ref="K32:L32"/>
    <mergeCell ref="B23:C23"/>
    <mergeCell ref="B24:C24"/>
    <mergeCell ref="B25:C25"/>
    <mergeCell ref="B26:C26"/>
    <mergeCell ref="B27:C27"/>
    <mergeCell ref="B29:C29"/>
    <mergeCell ref="G15:H15"/>
    <mergeCell ref="G16:H16"/>
    <mergeCell ref="G17:H17"/>
    <mergeCell ref="G18:H18"/>
    <mergeCell ref="G19:H19"/>
    <mergeCell ref="G20:H20"/>
    <mergeCell ref="C8:F8"/>
    <mergeCell ref="H8:J8"/>
    <mergeCell ref="C9:F9"/>
    <mergeCell ref="H9:J9"/>
    <mergeCell ref="C10:D10"/>
    <mergeCell ref="C11:D11"/>
    <mergeCell ref="A1:N2"/>
    <mergeCell ref="A4:N4"/>
    <mergeCell ref="B6:F6"/>
    <mergeCell ref="H6:J6"/>
    <mergeCell ref="C7:F7"/>
    <mergeCell ref="H7:J7"/>
  </mergeCells>
  <hyperlinks>
    <hyperlink ref="A62" r:id="rId1" display="www.imdacil.de"/>
  </hyperlinks>
  <printOptions/>
  <pageMargins left="0.39375" right="0.39375" top="0.39375" bottom="0.39375" header="0.5118055555555555" footer="0.511805555555555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7">
      <selection activeCell="I66" sqref="I66"/>
    </sheetView>
  </sheetViews>
  <sheetFormatPr defaultColWidth="10.875" defaultRowHeight="12.75" customHeight="1"/>
  <cols>
    <col min="1" max="1" width="2.75390625" style="0" customWidth="1"/>
    <col min="2" max="9" width="3.875" style="0" customWidth="1"/>
    <col min="10" max="10" width="16.50390625" style="0" customWidth="1"/>
    <col min="11" max="13" width="3.875" style="0" customWidth="1"/>
    <col min="14" max="17" width="5.125" style="0" customWidth="1"/>
    <col min="18" max="18" width="2.375" style="0" customWidth="1"/>
  </cols>
  <sheetData>
    <row r="1" spans="1:20" ht="12.75" customHeight="1">
      <c r="A1" s="169"/>
      <c r="B1" s="504" t="s">
        <v>113</v>
      </c>
      <c r="C1" s="504"/>
      <c r="D1" s="504"/>
      <c r="E1" s="504"/>
      <c r="F1" s="504"/>
      <c r="G1" s="504"/>
      <c r="H1" s="504"/>
      <c r="I1" s="504"/>
      <c r="J1" s="504"/>
      <c r="K1" s="170"/>
      <c r="L1" s="171"/>
      <c r="M1" s="171"/>
      <c r="N1" s="171"/>
      <c r="O1" s="171"/>
      <c r="P1" s="171"/>
      <c r="Q1" s="171"/>
      <c r="R1" s="172"/>
      <c r="S1" s="173"/>
      <c r="T1" s="173"/>
    </row>
    <row r="2" spans="1:20" ht="12.75" customHeight="1">
      <c r="A2" s="174"/>
      <c r="B2" s="504"/>
      <c r="C2" s="504"/>
      <c r="D2" s="504"/>
      <c r="E2" s="504"/>
      <c r="F2" s="504"/>
      <c r="G2" s="504"/>
      <c r="H2" s="504"/>
      <c r="I2" s="504"/>
      <c r="J2" s="504"/>
      <c r="K2" s="505" t="s">
        <v>114</v>
      </c>
      <c r="L2" s="498" t="s">
        <v>115</v>
      </c>
      <c r="M2" s="498" t="s">
        <v>116</v>
      </c>
      <c r="N2" s="498" t="s">
        <v>117</v>
      </c>
      <c r="O2" s="498"/>
      <c r="P2" s="499" t="s">
        <v>118</v>
      </c>
      <c r="Q2" s="498" t="s">
        <v>119</v>
      </c>
      <c r="R2" s="175"/>
      <c r="S2" s="173"/>
      <c r="T2" s="173"/>
    </row>
    <row r="3" spans="1:20" ht="12.75" customHeight="1">
      <c r="A3" s="174"/>
      <c r="B3" s="176"/>
      <c r="C3" s="176"/>
      <c r="D3" s="176"/>
      <c r="E3" s="176"/>
      <c r="F3" s="176"/>
      <c r="G3" s="176"/>
      <c r="H3" s="176"/>
      <c r="I3" s="176"/>
      <c r="J3" s="176"/>
      <c r="K3" s="505"/>
      <c r="L3" s="498"/>
      <c r="M3" s="498"/>
      <c r="N3" s="498"/>
      <c r="O3" s="498"/>
      <c r="P3" s="499"/>
      <c r="Q3" s="498"/>
      <c r="R3" s="175"/>
      <c r="S3" s="173"/>
      <c r="T3" s="173"/>
    </row>
    <row r="4" spans="1:20" ht="12.75" customHeight="1">
      <c r="A4" s="177"/>
      <c r="B4" s="500" t="s">
        <v>5</v>
      </c>
      <c r="C4" s="500"/>
      <c r="D4" s="501" t="str">
        <f>Name</f>
        <v>Thorus</v>
      </c>
      <c r="E4" s="501"/>
      <c r="F4" s="501"/>
      <c r="G4" s="501"/>
      <c r="H4" s="501"/>
      <c r="I4" s="501"/>
      <c r="J4" s="179"/>
      <c r="K4" s="505"/>
      <c r="L4" s="498"/>
      <c r="M4" s="498"/>
      <c r="N4" s="498"/>
      <c r="O4" s="498"/>
      <c r="P4" s="499"/>
      <c r="Q4" s="498"/>
      <c r="R4" s="180"/>
      <c r="S4" s="173"/>
      <c r="T4" s="173"/>
    </row>
    <row r="5" spans="1:20" ht="9" customHeight="1">
      <c r="A5" s="6"/>
      <c r="B5" s="181"/>
      <c r="C5" s="181"/>
      <c r="D5" s="181"/>
      <c r="E5" s="181"/>
      <c r="F5" s="181"/>
      <c r="G5" s="181"/>
      <c r="H5" s="7"/>
      <c r="I5" s="7"/>
      <c r="J5" s="7"/>
      <c r="K5" s="505"/>
      <c r="L5" s="498"/>
      <c r="M5" s="498"/>
      <c r="N5" s="498"/>
      <c r="O5" s="498"/>
      <c r="P5" s="499"/>
      <c r="Q5" s="498"/>
      <c r="R5" s="182"/>
      <c r="S5" s="173"/>
      <c r="T5" s="173"/>
    </row>
    <row r="6" spans="1:20" ht="12.75" customHeight="1">
      <c r="A6" s="6"/>
      <c r="B6" s="183">
        <f>AUSS</f>
        <v>20</v>
      </c>
      <c r="C6" s="183">
        <f>KL</f>
        <v>13</v>
      </c>
      <c r="D6" s="183">
        <f>WEI</f>
        <v>13</v>
      </c>
      <c r="E6" s="183">
        <f>AUSD</f>
        <v>19</v>
      </c>
      <c r="F6" s="183">
        <f>KK</f>
        <v>22</v>
      </c>
      <c r="G6" s="183">
        <f>GE</f>
        <v>19</v>
      </c>
      <c r="H6" s="184" t="s">
        <v>43</v>
      </c>
      <c r="I6" s="426">
        <f>TAK</f>
        <v>22</v>
      </c>
      <c r="J6" s="185"/>
      <c r="K6" s="505"/>
      <c r="L6" s="498"/>
      <c r="M6" s="498"/>
      <c r="N6" s="498"/>
      <c r="O6" s="498"/>
      <c r="P6" s="499"/>
      <c r="Q6" s="498"/>
      <c r="R6" s="182"/>
      <c r="S6" s="173"/>
      <c r="T6" s="173"/>
    </row>
    <row r="7" spans="1:20" ht="9" customHeight="1">
      <c r="A7" s="6"/>
      <c r="B7" s="186"/>
      <c r="C7" s="135"/>
      <c r="D7" s="135"/>
      <c r="E7" s="135"/>
      <c r="F7" s="135"/>
      <c r="G7" s="135"/>
      <c r="H7" s="7"/>
      <c r="I7" s="7"/>
      <c r="J7" s="7"/>
      <c r="K7" s="505"/>
      <c r="L7" s="498"/>
      <c r="M7" s="498"/>
      <c r="N7" s="498"/>
      <c r="O7" s="498"/>
      <c r="P7" s="499"/>
      <c r="Q7" s="498"/>
      <c r="R7" s="182"/>
      <c r="S7" s="173"/>
      <c r="T7" s="173"/>
    </row>
    <row r="8" spans="1:20" ht="12.75" customHeight="1">
      <c r="A8" s="6"/>
      <c r="B8" s="184" t="s">
        <v>39</v>
      </c>
      <c r="C8" s="184" t="s">
        <v>40</v>
      </c>
      <c r="D8" s="187" t="s">
        <v>42</v>
      </c>
      <c r="E8" s="184" t="s">
        <v>44</v>
      </c>
      <c r="F8" s="184" t="s">
        <v>46</v>
      </c>
      <c r="G8" s="188" t="s">
        <v>47</v>
      </c>
      <c r="H8" s="502" t="s">
        <v>120</v>
      </c>
      <c r="I8" s="502"/>
      <c r="J8" s="502"/>
      <c r="K8" s="189"/>
      <c r="L8" s="190"/>
      <c r="M8" s="190"/>
      <c r="N8" s="190"/>
      <c r="O8" s="190"/>
      <c r="P8" s="190"/>
      <c r="Q8" s="190"/>
      <c r="R8" s="182"/>
      <c r="S8" s="173"/>
      <c r="T8" s="173"/>
    </row>
    <row r="9" spans="1:20" ht="12.75" customHeight="1">
      <c r="A9" s="6"/>
      <c r="B9" s="191"/>
      <c r="C9" s="192"/>
      <c r="D9" s="192"/>
      <c r="E9" s="192"/>
      <c r="F9" s="192">
        <v>18</v>
      </c>
      <c r="G9" s="192">
        <v>17</v>
      </c>
      <c r="H9" s="503" t="s">
        <v>121</v>
      </c>
      <c r="I9" s="503"/>
      <c r="J9" s="503"/>
      <c r="K9" s="193">
        <v>8</v>
      </c>
      <c r="L9" s="194"/>
      <c r="M9" s="195">
        <f>SUM(IF(KK&gt;=18,KK-18,0),IF(GE&gt;=17,GE-17,0))</f>
        <v>6</v>
      </c>
      <c r="N9" s="196"/>
      <c r="O9" s="197"/>
      <c r="P9" s="198"/>
      <c r="Q9" s="199">
        <f aca="true" t="shared" si="0" ref="Q9:Q15">IF(SUM(K9:N9)&gt;27,27,(SUM(K9:N9)))</f>
        <v>14</v>
      </c>
      <c r="R9" s="182"/>
      <c r="S9" s="173"/>
      <c r="T9" s="173"/>
    </row>
    <row r="10" spans="1:20" ht="12.75" customHeight="1">
      <c r="A10" s="6"/>
      <c r="B10" s="200"/>
      <c r="C10" s="201"/>
      <c r="D10" s="201"/>
      <c r="E10" s="201">
        <v>18</v>
      </c>
      <c r="F10" s="201">
        <v>18</v>
      </c>
      <c r="G10" s="201">
        <v>18</v>
      </c>
      <c r="H10" s="506" t="s">
        <v>76</v>
      </c>
      <c r="I10" s="506"/>
      <c r="J10" s="506"/>
      <c r="K10" s="202">
        <v>6</v>
      </c>
      <c r="L10" s="203">
        <v>4</v>
      </c>
      <c r="M10" s="204">
        <f>SUM(IF(KK&gt;=18,KK-18,0),IF(GE&gt;=18,GE-18,0),IF(AUSD&gt;=18,AUSD-18,0))</f>
        <v>6</v>
      </c>
      <c r="N10" s="205">
        <v>6</v>
      </c>
      <c r="O10" s="206"/>
      <c r="P10" s="207"/>
      <c r="Q10" s="199">
        <f>IF(SUM(K10:N10)&gt;27,27,(SUM(K10:N10)))</f>
        <v>22</v>
      </c>
      <c r="R10" s="182"/>
      <c r="S10" s="173"/>
      <c r="T10" s="173"/>
    </row>
    <row r="11" spans="1:20" ht="12.75" customHeight="1">
      <c r="A11" s="6"/>
      <c r="B11" s="200"/>
      <c r="C11" s="201"/>
      <c r="D11" s="201"/>
      <c r="E11" s="201">
        <v>18</v>
      </c>
      <c r="F11" s="201">
        <v>18</v>
      </c>
      <c r="G11" s="201">
        <v>18</v>
      </c>
      <c r="H11" s="506" t="s">
        <v>122</v>
      </c>
      <c r="I11" s="506"/>
      <c r="J11" s="506"/>
      <c r="K11" s="208">
        <v>7</v>
      </c>
      <c r="L11" s="203"/>
      <c r="M11" s="204">
        <f>SUM(IF(KK&gt;=18,KK-18,0),IF(GE&gt;=18,GE-18,0),IF(AUSD&gt;=18,AUSD-18,0))</f>
        <v>6</v>
      </c>
      <c r="N11" s="205"/>
      <c r="O11" s="206"/>
      <c r="P11" s="207"/>
      <c r="Q11" s="199">
        <f t="shared" si="0"/>
        <v>13</v>
      </c>
      <c r="R11" s="182"/>
      <c r="S11" s="173"/>
      <c r="T11" s="173"/>
    </row>
    <row r="12" spans="1:20" ht="12.75" customHeight="1">
      <c r="A12" s="6"/>
      <c r="B12" s="200"/>
      <c r="C12" s="201"/>
      <c r="D12" s="201"/>
      <c r="E12" s="201">
        <v>18</v>
      </c>
      <c r="F12" s="201">
        <v>18</v>
      </c>
      <c r="G12" s="201">
        <v>18</v>
      </c>
      <c r="H12" s="506" t="s">
        <v>123</v>
      </c>
      <c r="I12" s="506"/>
      <c r="J12" s="506"/>
      <c r="K12" s="208">
        <v>8</v>
      </c>
      <c r="L12" s="203">
        <v>1</v>
      </c>
      <c r="M12" s="204">
        <f>SUM(IF(KK&gt;=18,KK-18,0),IF(GE&gt;=18,GE-18,0),IF(AUSD&gt;=18,AUSD-18,0))</f>
        <v>6</v>
      </c>
      <c r="N12" s="205"/>
      <c r="O12" s="206"/>
      <c r="P12" s="207"/>
      <c r="Q12" s="199">
        <f t="shared" si="0"/>
        <v>15</v>
      </c>
      <c r="R12" s="182"/>
      <c r="S12" s="173"/>
      <c r="T12" s="173"/>
    </row>
    <row r="13" spans="1:20" ht="12.75" customHeight="1">
      <c r="A13" s="6"/>
      <c r="B13" s="200"/>
      <c r="C13" s="201"/>
      <c r="D13" s="201"/>
      <c r="E13" s="201"/>
      <c r="F13" s="201">
        <v>18</v>
      </c>
      <c r="G13" s="201">
        <v>18</v>
      </c>
      <c r="H13" s="506" t="s">
        <v>124</v>
      </c>
      <c r="I13" s="506"/>
      <c r="J13" s="506"/>
      <c r="K13" s="208">
        <v>8</v>
      </c>
      <c r="L13" s="203"/>
      <c r="M13" s="204">
        <f>SUM(IF(KK&gt;=18,KK-18,0),IF(GE&gt;=18,GE-18,0))</f>
        <v>5</v>
      </c>
      <c r="N13" s="205"/>
      <c r="O13" s="206"/>
      <c r="P13" s="207"/>
      <c r="Q13" s="199">
        <f t="shared" si="0"/>
        <v>13</v>
      </c>
      <c r="R13" s="182"/>
      <c r="S13" s="173"/>
      <c r="T13" s="173"/>
    </row>
    <row r="14" spans="1:20" ht="12.75" customHeight="1">
      <c r="A14" s="6"/>
      <c r="B14" s="200"/>
      <c r="C14" s="201"/>
      <c r="D14" s="201"/>
      <c r="E14" s="201">
        <v>18</v>
      </c>
      <c r="F14" s="201">
        <v>18</v>
      </c>
      <c r="G14" s="201">
        <v>18</v>
      </c>
      <c r="H14" s="506" t="s">
        <v>125</v>
      </c>
      <c r="I14" s="506"/>
      <c r="J14" s="506"/>
      <c r="K14" s="202">
        <v>9</v>
      </c>
      <c r="L14" s="203"/>
      <c r="M14" s="204">
        <f>SUM(IF(KK&gt;=18,KK-18,0),IF(GE&gt;=18,GE-18,0),IF(AUSD&gt;=18,AUSD-18,0))</f>
        <v>6</v>
      </c>
      <c r="N14" s="205"/>
      <c r="O14" s="206"/>
      <c r="P14" s="207"/>
      <c r="Q14" s="199">
        <f t="shared" si="0"/>
        <v>15</v>
      </c>
      <c r="R14" s="182"/>
      <c r="S14" s="173"/>
      <c r="T14" s="173"/>
    </row>
    <row r="15" spans="1:20" ht="12.75" customHeight="1">
      <c r="A15" s="6"/>
      <c r="B15" s="209"/>
      <c r="C15" s="210">
        <v>18</v>
      </c>
      <c r="D15" s="210"/>
      <c r="E15" s="210"/>
      <c r="F15" s="210"/>
      <c r="G15" s="210">
        <v>18</v>
      </c>
      <c r="H15" s="507" t="s">
        <v>126</v>
      </c>
      <c r="I15" s="507"/>
      <c r="J15" s="507"/>
      <c r="K15" s="211">
        <v>9</v>
      </c>
      <c r="L15" s="212">
        <v>9</v>
      </c>
      <c r="M15" s="213">
        <f>SUM(IF(KL&gt;=18,KL-18,0),IF(GE&gt;=18,GE-18,0))</f>
        <v>1</v>
      </c>
      <c r="N15" s="214"/>
      <c r="O15" s="215"/>
      <c r="P15" s="216"/>
      <c r="Q15" s="217">
        <f t="shared" si="0"/>
        <v>19</v>
      </c>
      <c r="R15" s="182"/>
      <c r="S15" s="173"/>
      <c r="T15" s="173"/>
    </row>
    <row r="16" spans="1:20" ht="9" customHeight="1">
      <c r="A16" s="6"/>
      <c r="B16" s="218"/>
      <c r="C16" s="218"/>
      <c r="D16" s="218"/>
      <c r="E16" s="218"/>
      <c r="F16" s="218"/>
      <c r="G16" s="218"/>
      <c r="H16" s="178"/>
      <c r="I16" s="178"/>
      <c r="J16" s="178"/>
      <c r="K16" s="219"/>
      <c r="L16" s="219"/>
      <c r="M16" s="219"/>
      <c r="N16" s="219"/>
      <c r="O16" s="219"/>
      <c r="P16" s="219"/>
      <c r="Q16" s="185"/>
      <c r="R16" s="182"/>
      <c r="S16" s="173"/>
      <c r="T16" s="173"/>
    </row>
    <row r="17" spans="1:20" ht="12.75" customHeight="1">
      <c r="A17" s="6"/>
      <c r="B17" s="220" t="s">
        <v>39</v>
      </c>
      <c r="C17" s="184" t="s">
        <v>40</v>
      </c>
      <c r="D17" s="221" t="s">
        <v>42</v>
      </c>
      <c r="E17" s="184" t="s">
        <v>44</v>
      </c>
      <c r="F17" s="184" t="s">
        <v>46</v>
      </c>
      <c r="G17" s="184" t="s">
        <v>47</v>
      </c>
      <c r="H17" s="508" t="s">
        <v>127</v>
      </c>
      <c r="I17" s="508"/>
      <c r="J17" s="508"/>
      <c r="K17" s="222"/>
      <c r="L17" s="222"/>
      <c r="M17" s="222"/>
      <c r="N17" s="222"/>
      <c r="O17" s="222"/>
      <c r="P17" s="222"/>
      <c r="Q17" s="223"/>
      <c r="R17" s="182"/>
      <c r="S17" s="173"/>
      <c r="T17" s="173"/>
    </row>
    <row r="18" spans="1:20" ht="12.75" customHeight="1">
      <c r="A18" s="6"/>
      <c r="B18" s="191"/>
      <c r="C18" s="192"/>
      <c r="D18" s="192"/>
      <c r="E18" s="192">
        <v>18</v>
      </c>
      <c r="F18" s="192">
        <v>18</v>
      </c>
      <c r="G18" s="192">
        <v>18</v>
      </c>
      <c r="H18" s="503" t="s">
        <v>128</v>
      </c>
      <c r="I18" s="503"/>
      <c r="J18" s="503"/>
      <c r="K18" s="224">
        <v>8</v>
      </c>
      <c r="L18" s="194"/>
      <c r="M18" s="195">
        <f>SUM(IF(KK&gt;=18,KK-18,0),IF(GE&gt;=18,GE-18,0),IF(AUSD&gt;=18,AUSD-18,0))</f>
        <v>6</v>
      </c>
      <c r="N18" s="196">
        <v>2</v>
      </c>
      <c r="O18" s="197"/>
      <c r="P18" s="198"/>
      <c r="Q18" s="225">
        <f aca="true" t="shared" si="1" ref="Q18:Q27">IF(SUM(K18:N18)&gt;27,27,(SUM(K18:N18)))</f>
        <v>16</v>
      </c>
      <c r="R18" s="182"/>
      <c r="S18" s="173"/>
      <c r="T18" s="173"/>
    </row>
    <row r="19" spans="1:20" ht="12.75" customHeight="1">
      <c r="A19" s="6"/>
      <c r="B19" s="200"/>
      <c r="C19" s="201"/>
      <c r="D19" s="201"/>
      <c r="E19" s="201">
        <v>17</v>
      </c>
      <c r="F19" s="201">
        <v>18</v>
      </c>
      <c r="G19" s="201"/>
      <c r="H19" s="506" t="s">
        <v>129</v>
      </c>
      <c r="I19" s="506"/>
      <c r="J19" s="506"/>
      <c r="K19" s="208">
        <v>8</v>
      </c>
      <c r="L19" s="203"/>
      <c r="M19" s="204">
        <f>SUM(IF(KK&gt;=18,KK-18),IF(AUSD&gt;=17,AUSD-17,0))</f>
        <v>6</v>
      </c>
      <c r="N19" s="205"/>
      <c r="O19" s="206"/>
      <c r="P19" s="207"/>
      <c r="Q19" s="199">
        <f t="shared" si="1"/>
        <v>14</v>
      </c>
      <c r="R19" s="182"/>
      <c r="S19" s="173"/>
      <c r="T19" s="173"/>
    </row>
    <row r="20" spans="1:20" ht="12.75" customHeight="1">
      <c r="A20" s="6"/>
      <c r="B20" s="200"/>
      <c r="C20" s="201"/>
      <c r="D20" s="201"/>
      <c r="E20" s="201">
        <v>18</v>
      </c>
      <c r="F20" s="201">
        <v>18</v>
      </c>
      <c r="G20" s="201">
        <v>18</v>
      </c>
      <c r="H20" s="506" t="s">
        <v>130</v>
      </c>
      <c r="I20" s="506"/>
      <c r="J20" s="506"/>
      <c r="K20" s="208">
        <v>8</v>
      </c>
      <c r="L20" s="203"/>
      <c r="M20" s="204">
        <f>SUM(IF(KK&gt;=18,KK-18,0),IF(GE&gt;=18,GE-18,0),IF(AUSD&gt;=18,AUSD-18,0))</f>
        <v>6</v>
      </c>
      <c r="N20" s="205"/>
      <c r="O20" s="206"/>
      <c r="P20" s="207"/>
      <c r="Q20" s="199">
        <f t="shared" si="1"/>
        <v>14</v>
      </c>
      <c r="R20" s="182"/>
      <c r="S20" s="173"/>
      <c r="T20" s="173"/>
    </row>
    <row r="21" spans="1:20" ht="12.75" customHeight="1">
      <c r="A21" s="6"/>
      <c r="B21" s="200"/>
      <c r="C21" s="201"/>
      <c r="D21" s="201"/>
      <c r="E21" s="201"/>
      <c r="F21" s="201"/>
      <c r="G21" s="201">
        <v>16</v>
      </c>
      <c r="H21" s="506" t="s">
        <v>131</v>
      </c>
      <c r="I21" s="506"/>
      <c r="J21" s="506"/>
      <c r="K21" s="202">
        <v>10</v>
      </c>
      <c r="L21" s="203"/>
      <c r="M21" s="204">
        <f>IF(GE&gt;=16,GE-16,0)</f>
        <v>3</v>
      </c>
      <c r="N21" s="205"/>
      <c r="O21" s="206"/>
      <c r="P21" s="207"/>
      <c r="Q21" s="199">
        <f t="shared" si="1"/>
        <v>13</v>
      </c>
      <c r="R21" s="182"/>
      <c r="S21" s="173"/>
      <c r="T21" s="173"/>
    </row>
    <row r="22" spans="1:20" ht="12.75" customHeight="1">
      <c r="A22" s="6"/>
      <c r="B22" s="200"/>
      <c r="C22" s="201"/>
      <c r="D22" s="201"/>
      <c r="E22" s="201"/>
      <c r="F22" s="201"/>
      <c r="G22" s="201">
        <v>16</v>
      </c>
      <c r="H22" s="506" t="s">
        <v>132</v>
      </c>
      <c r="I22" s="506"/>
      <c r="J22" s="506"/>
      <c r="K22" s="208">
        <v>7</v>
      </c>
      <c r="L22" s="203"/>
      <c r="M22" s="204">
        <f>IF(GE&gt;=16,GE-16,0)</f>
        <v>3</v>
      </c>
      <c r="N22" s="205">
        <v>1</v>
      </c>
      <c r="O22" s="206"/>
      <c r="P22" s="207"/>
      <c r="Q22" s="199">
        <f t="shared" si="1"/>
        <v>11</v>
      </c>
      <c r="R22" s="182"/>
      <c r="S22" s="173"/>
      <c r="T22" s="173"/>
    </row>
    <row r="23" spans="1:20" ht="12.75" customHeight="1">
      <c r="A23" s="6"/>
      <c r="B23" s="200"/>
      <c r="C23" s="201"/>
      <c r="D23" s="201"/>
      <c r="E23" s="201"/>
      <c r="F23" s="201"/>
      <c r="G23" s="201">
        <v>17</v>
      </c>
      <c r="H23" s="506" t="s">
        <v>133</v>
      </c>
      <c r="I23" s="506"/>
      <c r="J23" s="506"/>
      <c r="K23" s="208">
        <v>3</v>
      </c>
      <c r="L23" s="203"/>
      <c r="M23" s="204">
        <f>IF(GE&gt;=17,GE-17,0)</f>
        <v>2</v>
      </c>
      <c r="N23" s="205"/>
      <c r="O23" s="206"/>
      <c r="P23" s="207"/>
      <c r="Q23" s="199">
        <f t="shared" si="1"/>
        <v>5</v>
      </c>
      <c r="R23" s="182"/>
      <c r="S23" s="173"/>
      <c r="T23" s="173"/>
    </row>
    <row r="24" spans="1:20" ht="12.75" customHeight="1">
      <c r="A24" s="6"/>
      <c r="B24" s="200"/>
      <c r="C24" s="201"/>
      <c r="D24" s="201"/>
      <c r="E24" s="201"/>
      <c r="F24" s="201"/>
      <c r="G24" s="201">
        <v>16</v>
      </c>
      <c r="H24" s="506" t="s">
        <v>134</v>
      </c>
      <c r="I24" s="506"/>
      <c r="J24" s="506"/>
      <c r="K24" s="208">
        <v>4</v>
      </c>
      <c r="L24" s="203"/>
      <c r="M24" s="204">
        <f>IF(GE&gt;=16,GE-16,0)</f>
        <v>3</v>
      </c>
      <c r="N24" s="205"/>
      <c r="O24" s="206"/>
      <c r="P24" s="207"/>
      <c r="Q24" s="199">
        <f t="shared" si="1"/>
        <v>7</v>
      </c>
      <c r="R24" s="182"/>
      <c r="S24" s="173"/>
      <c r="T24" s="173"/>
    </row>
    <row r="25" spans="1:20" ht="12.75" customHeight="1">
      <c r="A25" s="6"/>
      <c r="B25" s="200"/>
      <c r="C25" s="201"/>
      <c r="D25" s="201"/>
      <c r="E25" s="201"/>
      <c r="F25" s="201"/>
      <c r="G25" s="201">
        <v>16</v>
      </c>
      <c r="H25" s="506" t="s">
        <v>135</v>
      </c>
      <c r="I25" s="506"/>
      <c r="J25" s="506"/>
      <c r="K25" s="208">
        <v>2</v>
      </c>
      <c r="L25" s="203"/>
      <c r="M25" s="204">
        <f>IF(GE&gt;=16,GE-16,0)</f>
        <v>3</v>
      </c>
      <c r="N25" s="205"/>
      <c r="O25" s="206"/>
      <c r="P25" s="207"/>
      <c r="Q25" s="199">
        <f t="shared" si="1"/>
        <v>5</v>
      </c>
      <c r="R25" s="182"/>
      <c r="S25" s="173"/>
      <c r="T25" s="173"/>
    </row>
    <row r="26" spans="1:20" ht="12.75" customHeight="1">
      <c r="A26" s="6"/>
      <c r="B26" s="200"/>
      <c r="C26" s="201"/>
      <c r="D26" s="201"/>
      <c r="E26" s="201">
        <v>16</v>
      </c>
      <c r="F26" s="201"/>
      <c r="G26" s="201"/>
      <c r="H26" s="506" t="s">
        <v>136</v>
      </c>
      <c r="I26" s="506"/>
      <c r="J26" s="506"/>
      <c r="K26" s="208">
        <v>7</v>
      </c>
      <c r="L26" s="203"/>
      <c r="M26" s="204">
        <f>IF(AUSD&gt;=16,AUSD-16,0)</f>
        <v>3</v>
      </c>
      <c r="N26" s="205">
        <v>3</v>
      </c>
      <c r="O26" s="206"/>
      <c r="P26" s="207"/>
      <c r="Q26" s="199">
        <f t="shared" si="1"/>
        <v>13</v>
      </c>
      <c r="R26" s="182"/>
      <c r="S26" s="173"/>
      <c r="T26" s="173"/>
    </row>
    <row r="27" spans="1:20" ht="12.75" customHeight="1">
      <c r="A27" s="6"/>
      <c r="B27" s="209"/>
      <c r="C27" s="210"/>
      <c r="D27" s="210"/>
      <c r="E27" s="210">
        <v>17</v>
      </c>
      <c r="F27" s="210"/>
      <c r="G27" s="210"/>
      <c r="H27" s="507" t="s">
        <v>137</v>
      </c>
      <c r="I27" s="507"/>
      <c r="J27" s="507"/>
      <c r="K27" s="211">
        <v>6</v>
      </c>
      <c r="L27" s="212"/>
      <c r="M27" s="213">
        <f>IF(AUSD&gt;=17,AUSD-17,0)</f>
        <v>2</v>
      </c>
      <c r="N27" s="214">
        <v>1</v>
      </c>
      <c r="O27" s="215"/>
      <c r="P27" s="216"/>
      <c r="Q27" s="217">
        <f t="shared" si="1"/>
        <v>9</v>
      </c>
      <c r="R27" s="182"/>
      <c r="S27" s="173"/>
      <c r="T27" s="173"/>
    </row>
    <row r="28" spans="1:20" ht="9" customHeight="1">
      <c r="A28" s="6"/>
      <c r="B28" s="218"/>
      <c r="C28" s="218"/>
      <c r="D28" s="218"/>
      <c r="E28" s="218"/>
      <c r="F28" s="218"/>
      <c r="G28" s="218"/>
      <c r="H28" s="178"/>
      <c r="I28" s="178"/>
      <c r="J28" s="178"/>
      <c r="K28" s="219"/>
      <c r="L28" s="219"/>
      <c r="M28" s="219"/>
      <c r="N28" s="219"/>
      <c r="O28" s="219"/>
      <c r="P28" s="226"/>
      <c r="Q28" s="185"/>
      <c r="R28" s="182"/>
      <c r="S28" s="173"/>
      <c r="T28" s="173"/>
    </row>
    <row r="29" spans="1:20" ht="12.75" customHeight="1" thickBot="1">
      <c r="A29" s="6"/>
      <c r="B29" s="227" t="s">
        <v>39</v>
      </c>
      <c r="C29" s="184" t="s">
        <v>40</v>
      </c>
      <c r="D29" s="228" t="s">
        <v>42</v>
      </c>
      <c r="E29" s="184" t="s">
        <v>44</v>
      </c>
      <c r="F29" s="184" t="s">
        <v>46</v>
      </c>
      <c r="G29" s="184" t="s">
        <v>47</v>
      </c>
      <c r="H29" s="229" t="s">
        <v>138</v>
      </c>
      <c r="I29" s="230"/>
      <c r="J29" s="230"/>
      <c r="K29" s="222"/>
      <c r="L29" s="222"/>
      <c r="M29" s="222"/>
      <c r="N29" s="222"/>
      <c r="O29" s="222"/>
      <c r="P29" s="231"/>
      <c r="Q29" s="223"/>
      <c r="R29" s="182"/>
      <c r="S29" s="173"/>
      <c r="T29" s="173"/>
    </row>
    <row r="30" spans="1:20" ht="12.75" customHeight="1">
      <c r="A30" s="6"/>
      <c r="B30" s="191"/>
      <c r="C30" s="192">
        <v>18</v>
      </c>
      <c r="D30" s="192">
        <v>17</v>
      </c>
      <c r="E30" s="192"/>
      <c r="F30" s="192"/>
      <c r="G30" s="192"/>
      <c r="H30" s="503" t="s">
        <v>139</v>
      </c>
      <c r="I30" s="503"/>
      <c r="J30" s="503"/>
      <c r="K30" s="224">
        <v>4</v>
      </c>
      <c r="L30" s="194"/>
      <c r="M30" s="195">
        <f>SUM(IF(KL&gt;=18,KL-18,0),IF(WEI&gt;=17,WEI-17,0))</f>
        <v>0</v>
      </c>
      <c r="N30" s="196"/>
      <c r="O30" s="197"/>
      <c r="P30" s="198"/>
      <c r="Q30" s="422">
        <f aca="true" t="shared" si="2" ref="Q30:Q39">IF(SUM(K30:N30)&gt;27,27,(SUM(K30:N30)))</f>
        <v>4</v>
      </c>
      <c r="R30" s="182"/>
      <c r="S30" s="173"/>
      <c r="T30" s="173"/>
    </row>
    <row r="31" spans="1:20" ht="12.75" customHeight="1">
      <c r="A31" s="6"/>
      <c r="B31" s="200"/>
      <c r="C31" s="201"/>
      <c r="D31" s="201">
        <v>17</v>
      </c>
      <c r="E31" s="201"/>
      <c r="F31" s="201"/>
      <c r="G31" s="201"/>
      <c r="H31" s="506" t="s">
        <v>140</v>
      </c>
      <c r="I31" s="506"/>
      <c r="J31" s="506"/>
      <c r="K31" s="208">
        <v>6</v>
      </c>
      <c r="L31" s="203"/>
      <c r="M31" s="204">
        <f>IF(WEI&gt;=17,WEI-17,0)</f>
        <v>0</v>
      </c>
      <c r="N31" s="205"/>
      <c r="O31" s="206"/>
      <c r="P31" s="207"/>
      <c r="Q31" s="423">
        <f t="shared" si="2"/>
        <v>6</v>
      </c>
      <c r="R31" s="182"/>
      <c r="S31" s="173"/>
      <c r="T31" s="173"/>
    </row>
    <row r="32" spans="1:20" ht="12.75" customHeight="1">
      <c r="A32" s="6"/>
      <c r="B32" s="200"/>
      <c r="C32" s="201"/>
      <c r="D32" s="201">
        <v>18</v>
      </c>
      <c r="E32" s="201"/>
      <c r="F32" s="201"/>
      <c r="G32" s="201"/>
      <c r="H32" s="506" t="s">
        <v>141</v>
      </c>
      <c r="I32" s="506"/>
      <c r="J32" s="506"/>
      <c r="K32" s="208">
        <v>8</v>
      </c>
      <c r="L32" s="203"/>
      <c r="M32" s="204">
        <f>IF(WEI&gt;=18,WEI-18,0)</f>
        <v>0</v>
      </c>
      <c r="N32" s="205"/>
      <c r="O32" s="206"/>
      <c r="P32" s="207"/>
      <c r="Q32" s="423">
        <f t="shared" si="2"/>
        <v>8</v>
      </c>
      <c r="R32" s="182"/>
      <c r="S32" s="173"/>
      <c r="T32" s="173"/>
    </row>
    <row r="33" spans="1:20" ht="12.75" customHeight="1">
      <c r="A33" s="6"/>
      <c r="B33" s="200"/>
      <c r="C33" s="201"/>
      <c r="D33" s="201">
        <v>16</v>
      </c>
      <c r="E33" s="201"/>
      <c r="F33" s="201"/>
      <c r="G33" s="201"/>
      <c r="H33" s="506" t="s">
        <v>142</v>
      </c>
      <c r="I33" s="506"/>
      <c r="J33" s="506"/>
      <c r="K33" s="202">
        <v>8</v>
      </c>
      <c r="L33" s="203"/>
      <c r="M33" s="204">
        <f>IF(WEI&gt;=16,WEI-16,0)</f>
        <v>0</v>
      </c>
      <c r="N33" s="205">
        <v>1</v>
      </c>
      <c r="O33" s="206"/>
      <c r="P33" s="207"/>
      <c r="Q33" s="423">
        <f>IF(SUM(K33:N33)&gt;27,27,(SUM(K33:N33)))</f>
        <v>9</v>
      </c>
      <c r="R33" s="182"/>
      <c r="S33" s="173"/>
      <c r="T33" s="173"/>
    </row>
    <row r="34" spans="1:20" ht="12.75" customHeight="1">
      <c r="A34" s="6"/>
      <c r="B34" s="200"/>
      <c r="C34" s="201"/>
      <c r="D34" s="201">
        <v>16</v>
      </c>
      <c r="E34" s="201"/>
      <c r="F34" s="201"/>
      <c r="G34" s="201"/>
      <c r="H34" s="506" t="s">
        <v>143</v>
      </c>
      <c r="I34" s="506"/>
      <c r="J34" s="506"/>
      <c r="K34" s="208">
        <v>5</v>
      </c>
      <c r="L34" s="203"/>
      <c r="M34" s="204">
        <f>IF(WEI&gt;=16,WEI-16,0)</f>
        <v>0</v>
      </c>
      <c r="N34" s="205"/>
      <c r="O34" s="206"/>
      <c r="P34" s="207"/>
      <c r="Q34" s="423">
        <f t="shared" si="2"/>
        <v>5</v>
      </c>
      <c r="R34" s="182"/>
      <c r="S34" s="173"/>
      <c r="T34" s="173"/>
    </row>
    <row r="35" spans="1:20" ht="12.75" customHeight="1">
      <c r="A35" s="6"/>
      <c r="B35" s="200">
        <v>17</v>
      </c>
      <c r="C35" s="201"/>
      <c r="D35" s="201"/>
      <c r="E35" s="201"/>
      <c r="F35" s="201"/>
      <c r="G35" s="201">
        <v>20</v>
      </c>
      <c r="H35" s="506" t="s">
        <v>144</v>
      </c>
      <c r="I35" s="506"/>
      <c r="J35" s="506"/>
      <c r="K35" s="208">
        <v>8</v>
      </c>
      <c r="L35" s="203"/>
      <c r="M35" s="204">
        <f>SUM(IF(AUSS&gt;=17,AUSS-17,0),IF(GE&gt;=20,GE-20,0))</f>
        <v>3</v>
      </c>
      <c r="N35" s="205">
        <v>2</v>
      </c>
      <c r="O35" s="206"/>
      <c r="P35" s="207"/>
      <c r="Q35" s="423">
        <f>IF(SUM(K35:N35)&gt;27,27,(SUM(K35:N35)))</f>
        <v>13</v>
      </c>
      <c r="R35" s="182"/>
      <c r="S35" s="173"/>
      <c r="T35" s="173"/>
    </row>
    <row r="36" spans="1:20" ht="12.75" customHeight="1">
      <c r="A36" s="6"/>
      <c r="B36" s="200"/>
      <c r="C36" s="201">
        <v>17</v>
      </c>
      <c r="D36" s="201">
        <v>17</v>
      </c>
      <c r="E36" s="201"/>
      <c r="F36" s="201"/>
      <c r="G36" s="201"/>
      <c r="H36" s="506" t="s">
        <v>145</v>
      </c>
      <c r="I36" s="506"/>
      <c r="J36" s="506"/>
      <c r="K36" s="208">
        <v>7</v>
      </c>
      <c r="L36" s="203"/>
      <c r="M36" s="204">
        <f>SUM(IF(KL&gt;=17,KL-17,0),IF(WEI&gt;=17,WEI-17,0))</f>
        <v>0</v>
      </c>
      <c r="N36" s="205"/>
      <c r="O36" s="206"/>
      <c r="P36" s="207"/>
      <c r="Q36" s="423">
        <f t="shared" si="2"/>
        <v>7</v>
      </c>
      <c r="R36" s="182"/>
      <c r="S36" s="173"/>
      <c r="T36" s="173"/>
    </row>
    <row r="37" spans="1:20" ht="12.75" customHeight="1">
      <c r="A37" s="6"/>
      <c r="B37" s="200"/>
      <c r="C37" s="201"/>
      <c r="D37" s="201"/>
      <c r="E37" s="201"/>
      <c r="F37" s="201"/>
      <c r="G37" s="201">
        <v>16</v>
      </c>
      <c r="H37" s="506" t="s">
        <v>146</v>
      </c>
      <c r="I37" s="506"/>
      <c r="J37" s="506"/>
      <c r="K37" s="208">
        <v>3</v>
      </c>
      <c r="L37" s="203"/>
      <c r="M37" s="204">
        <f>IF(GE&gt;=16,GE-16,0)</f>
        <v>3</v>
      </c>
      <c r="N37" s="205"/>
      <c r="O37" s="206"/>
      <c r="P37" s="207"/>
      <c r="Q37" s="423">
        <f t="shared" si="2"/>
        <v>6</v>
      </c>
      <c r="R37" s="182"/>
      <c r="S37" s="173"/>
      <c r="T37" s="173"/>
    </row>
    <row r="38" spans="1:20" ht="12.75" customHeight="1">
      <c r="A38" s="6"/>
      <c r="B38" s="419"/>
      <c r="C38" s="420">
        <v>16</v>
      </c>
      <c r="D38" s="420"/>
      <c r="E38" s="420"/>
      <c r="F38" s="420"/>
      <c r="G38" s="420"/>
      <c r="H38" s="506" t="s">
        <v>147</v>
      </c>
      <c r="I38" s="506"/>
      <c r="J38" s="506"/>
      <c r="K38" s="208">
        <v>4</v>
      </c>
      <c r="L38" s="203"/>
      <c r="M38" s="204">
        <f>IF(KL&gt;=16,KL-16,0)</f>
        <v>0</v>
      </c>
      <c r="N38" s="205"/>
      <c r="O38" s="206"/>
      <c r="P38" s="207"/>
      <c r="Q38" s="423">
        <f t="shared" si="2"/>
        <v>4</v>
      </c>
      <c r="R38" s="182"/>
      <c r="S38" s="173"/>
      <c r="T38" s="173"/>
    </row>
    <row r="39" spans="1:20" ht="12.75" customHeight="1" thickBot="1">
      <c r="A39" s="6"/>
      <c r="B39" s="421">
        <v>18</v>
      </c>
      <c r="C39" s="421"/>
      <c r="D39" s="421"/>
      <c r="E39" s="421"/>
      <c r="F39" s="421"/>
      <c r="G39" s="421">
        <v>18</v>
      </c>
      <c r="H39" s="507" t="s">
        <v>148</v>
      </c>
      <c r="I39" s="507"/>
      <c r="J39" s="507"/>
      <c r="K39" s="211">
        <v>8</v>
      </c>
      <c r="L39" s="212"/>
      <c r="M39" s="213">
        <f>SUM(IF(AUSS&gt;=18,AUSS-18,0),IF(GE&gt;=18,GE-18,0))</f>
        <v>3</v>
      </c>
      <c r="N39" s="214"/>
      <c r="O39" s="215"/>
      <c r="P39" s="216"/>
      <c r="Q39" s="424">
        <f t="shared" si="2"/>
        <v>11</v>
      </c>
      <c r="R39" s="182"/>
      <c r="S39" s="173"/>
      <c r="T39" s="173"/>
    </row>
    <row r="40" spans="1:20" ht="9" customHeight="1" thickBot="1">
      <c r="A40" s="6"/>
      <c r="B40" s="218"/>
      <c r="C40" s="218"/>
      <c r="D40" s="218"/>
      <c r="E40" s="218"/>
      <c r="F40" s="218"/>
      <c r="G40" s="218"/>
      <c r="H40" s="178"/>
      <c r="I40" s="178"/>
      <c r="J40" s="178"/>
      <c r="K40" s="219"/>
      <c r="L40" s="219"/>
      <c r="M40" s="219"/>
      <c r="N40" s="219"/>
      <c r="O40" s="219"/>
      <c r="P40" s="226"/>
      <c r="Q40" s="185"/>
      <c r="R40" s="182"/>
      <c r="S40" s="173"/>
      <c r="T40" s="173"/>
    </row>
    <row r="41" spans="1:20" ht="12.75" customHeight="1">
      <c r="A41" s="6"/>
      <c r="B41" s="227" t="s">
        <v>39</v>
      </c>
      <c r="C41" s="184" t="s">
        <v>40</v>
      </c>
      <c r="D41" s="228" t="s">
        <v>42</v>
      </c>
      <c r="E41" s="184" t="s">
        <v>44</v>
      </c>
      <c r="F41" s="184" t="s">
        <v>46</v>
      </c>
      <c r="G41" s="184" t="s">
        <v>47</v>
      </c>
      <c r="H41" s="509" t="s">
        <v>149</v>
      </c>
      <c r="I41" s="509"/>
      <c r="J41" s="509"/>
      <c r="K41" s="222"/>
      <c r="L41" s="222"/>
      <c r="M41" s="222"/>
      <c r="N41" s="222"/>
      <c r="O41" s="222"/>
      <c r="P41" s="231"/>
      <c r="Q41" s="223"/>
      <c r="R41" s="182"/>
      <c r="S41" s="173"/>
      <c r="T41" s="173"/>
    </row>
    <row r="42" spans="1:20" ht="12.75" customHeight="1">
      <c r="A42" s="6"/>
      <c r="B42" s="191"/>
      <c r="C42" s="192">
        <v>17</v>
      </c>
      <c r="D42" s="192">
        <v>18</v>
      </c>
      <c r="E42" s="192"/>
      <c r="F42" s="192"/>
      <c r="G42" s="192"/>
      <c r="H42" s="510" t="s">
        <v>150</v>
      </c>
      <c r="I42" s="510"/>
      <c r="J42" s="510"/>
      <c r="K42" s="224">
        <v>5</v>
      </c>
      <c r="L42" s="194"/>
      <c r="M42" s="195">
        <f>SUM(IF(KL&gt;=17,KL-17,0),IF(WEI&gt;=18,WEI-18,0))</f>
        <v>0</v>
      </c>
      <c r="N42" s="196"/>
      <c r="O42" s="197"/>
      <c r="P42" s="198"/>
      <c r="Q42" s="225">
        <f aca="true" t="shared" si="3" ref="Q42:Q53">IF(SUM(K42:N42)&gt;27,27,(SUM(K42:N42)))</f>
        <v>5</v>
      </c>
      <c r="R42" s="182"/>
      <c r="S42" s="173"/>
      <c r="T42" s="173"/>
    </row>
    <row r="43" spans="1:20" ht="12.75" customHeight="1">
      <c r="A43" s="6"/>
      <c r="B43" s="200"/>
      <c r="C43" s="201">
        <v>18</v>
      </c>
      <c r="D43" s="201">
        <v>18</v>
      </c>
      <c r="E43" s="201"/>
      <c r="F43" s="201"/>
      <c r="G43" s="201">
        <v>20</v>
      </c>
      <c r="H43" s="511" t="s">
        <v>151</v>
      </c>
      <c r="I43" s="511"/>
      <c r="J43" s="511"/>
      <c r="K43" s="208">
        <v>4</v>
      </c>
      <c r="L43" s="203"/>
      <c r="M43" s="204">
        <f>SUM(IF(KL&gt;=18,KL-18,0),IF(WEI&gt;=18,WEI-18,0),IF(GE&gt;=20,GE-20,0))</f>
        <v>0</v>
      </c>
      <c r="N43" s="205"/>
      <c r="O43" s="206"/>
      <c r="P43" s="207"/>
      <c r="Q43" s="199">
        <f t="shared" si="3"/>
        <v>4</v>
      </c>
      <c r="R43" s="182"/>
      <c r="S43" s="173"/>
      <c r="T43" s="173"/>
    </row>
    <row r="44" spans="1:20" ht="12.75" customHeight="1">
      <c r="A44" s="6"/>
      <c r="B44" s="200"/>
      <c r="C44" s="201">
        <v>20</v>
      </c>
      <c r="D44" s="201">
        <v>24</v>
      </c>
      <c r="E44" s="201"/>
      <c r="F44" s="201"/>
      <c r="G44" s="201">
        <v>22</v>
      </c>
      <c r="H44" s="511" t="s">
        <v>152</v>
      </c>
      <c r="I44" s="511"/>
      <c r="J44" s="511"/>
      <c r="K44" s="208">
        <v>2</v>
      </c>
      <c r="L44" s="203"/>
      <c r="M44" s="204">
        <f>SUM(IF(KL&gt;=20,KL-20,0),IF(WEI&gt;=24,WEI-24,0),IF(GE&gt;=22,GE-22,0))</f>
        <v>0</v>
      </c>
      <c r="N44" s="205"/>
      <c r="O44" s="206"/>
      <c r="P44" s="207"/>
      <c r="Q44" s="199">
        <f t="shared" si="3"/>
        <v>2</v>
      </c>
      <c r="R44" s="182"/>
      <c r="S44" s="173"/>
      <c r="T44" s="173"/>
    </row>
    <row r="45" spans="1:20" ht="12.75" customHeight="1">
      <c r="A45" s="6"/>
      <c r="B45" s="200"/>
      <c r="C45" s="201">
        <v>18</v>
      </c>
      <c r="D45" s="201">
        <v>17</v>
      </c>
      <c r="E45" s="201"/>
      <c r="F45" s="201"/>
      <c r="G45" s="201"/>
      <c r="H45" s="511" t="s">
        <v>153</v>
      </c>
      <c r="I45" s="511"/>
      <c r="J45" s="511"/>
      <c r="K45" s="208">
        <v>7</v>
      </c>
      <c r="L45" s="203"/>
      <c r="M45" s="204">
        <f>SUM(IF(KL&gt;=18,KL-18,0),IF(WEI&gt;=17,WEI-17,0))</f>
        <v>0</v>
      </c>
      <c r="N45" s="205"/>
      <c r="O45" s="206"/>
      <c r="P45" s="207"/>
      <c r="Q45" s="199">
        <f t="shared" si="3"/>
        <v>7</v>
      </c>
      <c r="R45" s="182"/>
      <c r="S45" s="173"/>
      <c r="T45" s="173"/>
    </row>
    <row r="46" spans="1:20" ht="12.75" customHeight="1">
      <c r="A46" s="6"/>
      <c r="B46" s="200"/>
      <c r="C46" s="201">
        <v>18</v>
      </c>
      <c r="D46" s="201">
        <v>18</v>
      </c>
      <c r="E46" s="201"/>
      <c r="F46" s="201"/>
      <c r="G46" s="201"/>
      <c r="H46" s="511" t="s">
        <v>154</v>
      </c>
      <c r="I46" s="511"/>
      <c r="J46" s="511"/>
      <c r="K46" s="208">
        <v>8</v>
      </c>
      <c r="L46" s="203"/>
      <c r="M46" s="204">
        <f>SUM(IF(KL&gt;=18,KL-18,0),IF(WEI&gt;=18,WEI-18,0))</f>
        <v>0</v>
      </c>
      <c r="N46" s="205"/>
      <c r="O46" s="206"/>
      <c r="P46" s="207"/>
      <c r="Q46" s="199">
        <f t="shared" si="3"/>
        <v>8</v>
      </c>
      <c r="R46" s="182"/>
      <c r="S46" s="173"/>
      <c r="T46" s="173"/>
    </row>
    <row r="47" spans="1:20" ht="12.75" customHeight="1">
      <c r="A47" s="6"/>
      <c r="B47" s="200"/>
      <c r="C47" s="201">
        <v>18</v>
      </c>
      <c r="D47" s="201">
        <v>18</v>
      </c>
      <c r="E47" s="201"/>
      <c r="F47" s="201"/>
      <c r="G47" s="201"/>
      <c r="H47" s="511" t="s">
        <v>155</v>
      </c>
      <c r="I47" s="511"/>
      <c r="J47" s="511"/>
      <c r="K47" s="208">
        <v>5</v>
      </c>
      <c r="L47" s="203"/>
      <c r="M47" s="204">
        <f>SUM(IF(KL&gt;=18,KL-18,0),IF(WEI&gt;=18,WEI-18,0))</f>
        <v>0</v>
      </c>
      <c r="N47" s="205"/>
      <c r="O47" s="206"/>
      <c r="P47" s="207"/>
      <c r="Q47" s="199">
        <f t="shared" si="3"/>
        <v>5</v>
      </c>
      <c r="R47" s="182"/>
      <c r="S47" s="173"/>
      <c r="T47" s="173"/>
    </row>
    <row r="48" spans="1:20" ht="12.75" customHeight="1">
      <c r="A48" s="6"/>
      <c r="B48" s="200"/>
      <c r="C48" s="201">
        <v>18</v>
      </c>
      <c r="D48" s="201">
        <v>18</v>
      </c>
      <c r="E48" s="201"/>
      <c r="F48" s="201"/>
      <c r="G48" s="201"/>
      <c r="H48" s="511" t="s">
        <v>156</v>
      </c>
      <c r="I48" s="511"/>
      <c r="J48" s="511"/>
      <c r="K48" s="208">
        <v>2</v>
      </c>
      <c r="L48" s="203"/>
      <c r="M48" s="204">
        <f>SUM(IF(KL&gt;=18,KL-18,0),IF(WEI&gt;=18,WEI-18,0))</f>
        <v>0</v>
      </c>
      <c r="N48" s="205"/>
      <c r="O48" s="206"/>
      <c r="P48" s="207"/>
      <c r="Q48" s="199">
        <f t="shared" si="3"/>
        <v>2</v>
      </c>
      <c r="R48" s="182"/>
      <c r="S48" s="173"/>
      <c r="T48" s="173"/>
    </row>
    <row r="49" spans="1:20" ht="12.75" customHeight="1">
      <c r="A49" s="6"/>
      <c r="B49" s="200"/>
      <c r="C49" s="201">
        <v>18</v>
      </c>
      <c r="D49" s="201">
        <v>18</v>
      </c>
      <c r="E49" s="201"/>
      <c r="F49" s="201"/>
      <c r="G49" s="201"/>
      <c r="H49" s="511" t="s">
        <v>157</v>
      </c>
      <c r="I49" s="511"/>
      <c r="J49" s="511"/>
      <c r="K49" s="208">
        <v>1</v>
      </c>
      <c r="L49" s="203"/>
      <c r="M49" s="204">
        <f>SUM(IF(KL&gt;=18,KL-18,0),IF(WEI&gt;=18,WEI-18,0))</f>
        <v>0</v>
      </c>
      <c r="N49" s="205"/>
      <c r="O49" s="206"/>
      <c r="P49" s="207"/>
      <c r="Q49" s="199">
        <f t="shared" si="3"/>
        <v>1</v>
      </c>
      <c r="R49" s="182"/>
      <c r="S49" s="173"/>
      <c r="T49" s="173"/>
    </row>
    <row r="50" spans="1:20" ht="12.75" customHeight="1">
      <c r="A50" s="6"/>
      <c r="B50" s="200"/>
      <c r="C50" s="201"/>
      <c r="D50" s="201">
        <v>16</v>
      </c>
      <c r="E50" s="201"/>
      <c r="F50" s="201"/>
      <c r="G50" s="201"/>
      <c r="H50" s="511" t="s">
        <v>158</v>
      </c>
      <c r="I50" s="511"/>
      <c r="J50" s="511"/>
      <c r="K50" s="208">
        <v>5</v>
      </c>
      <c r="L50" s="203"/>
      <c r="M50" s="204">
        <f>IF(WEI&gt;=16,WEI-16,0)</f>
        <v>0</v>
      </c>
      <c r="N50" s="205"/>
      <c r="O50" s="206"/>
      <c r="P50" s="207"/>
      <c r="Q50" s="199">
        <f t="shared" si="3"/>
        <v>5</v>
      </c>
      <c r="R50" s="182"/>
      <c r="S50" s="173"/>
      <c r="T50" s="173"/>
    </row>
    <row r="51" spans="1:20" ht="12.75" customHeight="1">
      <c r="A51" s="6"/>
      <c r="B51" s="200"/>
      <c r="C51" s="201">
        <v>16</v>
      </c>
      <c r="D51" s="201"/>
      <c r="E51" s="201"/>
      <c r="F51" s="201"/>
      <c r="G51" s="201">
        <v>18</v>
      </c>
      <c r="H51" s="511" t="s">
        <v>159</v>
      </c>
      <c r="I51" s="511"/>
      <c r="J51" s="511"/>
      <c r="K51" s="208">
        <v>5</v>
      </c>
      <c r="L51" s="203"/>
      <c r="M51" s="204">
        <f>SUM(IF(KL&gt;=16,KL-16,0),IF(GE&gt;=18,GE-18,0))</f>
        <v>1</v>
      </c>
      <c r="N51" s="205"/>
      <c r="O51" s="206"/>
      <c r="P51" s="207"/>
      <c r="Q51" s="199">
        <f t="shared" si="3"/>
        <v>6</v>
      </c>
      <c r="R51" s="182"/>
      <c r="S51" s="173"/>
      <c r="T51" s="173"/>
    </row>
    <row r="52" spans="1:20" ht="12.75" customHeight="1">
      <c r="A52" s="6"/>
      <c r="B52" s="200"/>
      <c r="C52" s="201">
        <v>17</v>
      </c>
      <c r="D52" s="201"/>
      <c r="E52" s="201"/>
      <c r="F52" s="201"/>
      <c r="G52" s="201">
        <v>22</v>
      </c>
      <c r="H52" s="511" t="s">
        <v>160</v>
      </c>
      <c r="I52" s="511"/>
      <c r="J52" s="511"/>
      <c r="K52" s="208">
        <v>3</v>
      </c>
      <c r="L52" s="203"/>
      <c r="M52" s="204">
        <f>SUM(IF(KL&gt;=17,KL-17,0),IF(GE&gt;=22,GE-22,0))</f>
        <v>0</v>
      </c>
      <c r="N52" s="205"/>
      <c r="O52" s="206"/>
      <c r="P52" s="207"/>
      <c r="Q52" s="199">
        <f t="shared" si="3"/>
        <v>3</v>
      </c>
      <c r="R52" s="182"/>
      <c r="S52" s="173"/>
      <c r="T52" s="173"/>
    </row>
    <row r="53" spans="1:20" ht="12.75" customHeight="1">
      <c r="A53" s="6"/>
      <c r="B53" s="209"/>
      <c r="C53" s="210">
        <v>16</v>
      </c>
      <c r="D53" s="210"/>
      <c r="E53" s="210"/>
      <c r="F53" s="210"/>
      <c r="G53" s="210"/>
      <c r="H53" s="512" t="s">
        <v>161</v>
      </c>
      <c r="I53" s="512"/>
      <c r="J53" s="512"/>
      <c r="K53" s="211">
        <v>1</v>
      </c>
      <c r="L53" s="212"/>
      <c r="M53" s="213">
        <f>IF(KL&gt;=16,KL-16,0)</f>
        <v>0</v>
      </c>
      <c r="N53" s="214"/>
      <c r="O53" s="215"/>
      <c r="P53" s="216"/>
      <c r="Q53" s="217">
        <f t="shared" si="3"/>
        <v>1</v>
      </c>
      <c r="R53" s="182"/>
      <c r="S53" s="173"/>
      <c r="T53" s="173"/>
    </row>
    <row r="54" spans="1:20" ht="9" customHeight="1">
      <c r="A54" s="6"/>
      <c r="B54" s="218"/>
      <c r="C54" s="218"/>
      <c r="D54" s="218"/>
      <c r="E54" s="218"/>
      <c r="F54" s="218"/>
      <c r="G54" s="218"/>
      <c r="H54" s="178"/>
      <c r="I54" s="178"/>
      <c r="J54" s="178"/>
      <c r="K54" s="219"/>
      <c r="L54" s="219"/>
      <c r="M54" s="219"/>
      <c r="N54" s="219"/>
      <c r="O54" s="219"/>
      <c r="P54" s="226"/>
      <c r="Q54" s="185"/>
      <c r="R54" s="182"/>
      <c r="S54" s="173"/>
      <c r="T54" s="173"/>
    </row>
    <row r="55" spans="1:20" ht="12.75" customHeight="1" thickBot="1">
      <c r="A55" s="6"/>
      <c r="B55" s="220" t="s">
        <v>39</v>
      </c>
      <c r="C55" s="184" t="s">
        <v>40</v>
      </c>
      <c r="D55" s="221" t="s">
        <v>42</v>
      </c>
      <c r="E55" s="184" t="s">
        <v>44</v>
      </c>
      <c r="F55" s="184" t="s">
        <v>46</v>
      </c>
      <c r="G55" s="184" t="s">
        <v>47</v>
      </c>
      <c r="H55" s="509" t="s">
        <v>162</v>
      </c>
      <c r="I55" s="509"/>
      <c r="J55" s="509"/>
      <c r="K55" s="222"/>
      <c r="L55" s="222"/>
      <c r="M55" s="222"/>
      <c r="N55" s="222"/>
      <c r="O55" s="222"/>
      <c r="P55" s="231"/>
      <c r="Q55" s="223"/>
      <c r="R55" s="182"/>
      <c r="S55" s="173"/>
      <c r="T55" s="173"/>
    </row>
    <row r="56" spans="1:20" ht="12.75" customHeight="1">
      <c r="A56" s="6"/>
      <c r="B56" s="191">
        <v>16</v>
      </c>
      <c r="C56" s="192"/>
      <c r="D56" s="192"/>
      <c r="E56" s="192"/>
      <c r="F56" s="192"/>
      <c r="G56" s="192"/>
      <c r="H56" s="503" t="s">
        <v>163</v>
      </c>
      <c r="I56" s="503"/>
      <c r="J56" s="503"/>
      <c r="K56" s="224">
        <v>6</v>
      </c>
      <c r="L56" s="197"/>
      <c r="M56" s="439">
        <f>IF(AUSS&gt;=16,AUSS-16,0)</f>
        <v>4</v>
      </c>
      <c r="N56" s="440">
        <v>4</v>
      </c>
      <c r="O56" s="441"/>
      <c r="P56" s="442"/>
      <c r="Q56" s="443">
        <f>IF(SUM(K56:N56)&gt;27,27,(SUM(K56:N56)))</f>
        <v>14</v>
      </c>
      <c r="R56" s="182"/>
      <c r="S56" s="173"/>
      <c r="T56" s="173"/>
    </row>
    <row r="57" spans="1:20" ht="12.75" customHeight="1">
      <c r="A57" s="6"/>
      <c r="B57" s="200">
        <v>17</v>
      </c>
      <c r="C57" s="201"/>
      <c r="D57" s="201">
        <v>17</v>
      </c>
      <c r="E57" s="201"/>
      <c r="F57" s="201"/>
      <c r="G57" s="201"/>
      <c r="H57" s="506" t="s">
        <v>164</v>
      </c>
      <c r="I57" s="506"/>
      <c r="J57" s="506"/>
      <c r="K57" s="208">
        <v>6</v>
      </c>
      <c r="L57" s="206"/>
      <c r="M57" s="444">
        <f>SUM(IF(AUSS&gt;=17,AUSS-17,0),IF(WEI&gt;=17,WEI-17,0))</f>
        <v>3</v>
      </c>
      <c r="N57" s="205">
        <v>1</v>
      </c>
      <c r="O57" s="206"/>
      <c r="P57" s="207"/>
      <c r="Q57" s="445">
        <f aca="true" t="shared" si="4" ref="Q57:Q63">IF(SUM(K57:N57)&gt;27,27,(SUM(K57:N57)))</f>
        <v>10</v>
      </c>
      <c r="R57" s="182"/>
      <c r="S57" s="173"/>
      <c r="T57" s="173"/>
    </row>
    <row r="58" spans="1:20" ht="12.75" customHeight="1">
      <c r="A58" s="6"/>
      <c r="B58" s="200">
        <v>16</v>
      </c>
      <c r="C58" s="201">
        <v>20</v>
      </c>
      <c r="D58" s="201"/>
      <c r="E58" s="201"/>
      <c r="F58" s="201"/>
      <c r="G58" s="201"/>
      <c r="H58" s="506" t="s">
        <v>165</v>
      </c>
      <c r="I58" s="506"/>
      <c r="J58" s="506"/>
      <c r="K58" s="208">
        <v>7</v>
      </c>
      <c r="L58" s="206"/>
      <c r="M58" s="444">
        <f>SUM(IF(AUSS&gt;=16,AUSS-16,0),IF(KL&gt;=20,KL-20,0))</f>
        <v>4</v>
      </c>
      <c r="N58" s="205"/>
      <c r="O58" s="206"/>
      <c r="P58" s="207"/>
      <c r="Q58" s="445">
        <f t="shared" si="4"/>
        <v>11</v>
      </c>
      <c r="R58" s="182"/>
      <c r="S58" s="173"/>
      <c r="T58" s="173"/>
    </row>
    <row r="59" spans="1:20" ht="12.75" customHeight="1">
      <c r="A59" s="6"/>
      <c r="B59" s="200">
        <v>18</v>
      </c>
      <c r="C59" s="201">
        <v>17</v>
      </c>
      <c r="D59" s="201"/>
      <c r="E59" s="201"/>
      <c r="F59" s="201"/>
      <c r="G59" s="201"/>
      <c r="H59" s="506" t="s">
        <v>166</v>
      </c>
      <c r="I59" s="506"/>
      <c r="J59" s="506"/>
      <c r="K59" s="208">
        <v>5</v>
      </c>
      <c r="L59" s="206"/>
      <c r="M59" s="444">
        <f>SUM(IF(AUSS&gt;=18,AUSS-18,0),IF(KL&gt;=17,KL-17,0))</f>
        <v>2</v>
      </c>
      <c r="N59" s="205"/>
      <c r="O59" s="206"/>
      <c r="P59" s="207"/>
      <c r="Q59" s="445">
        <f t="shared" si="4"/>
        <v>7</v>
      </c>
      <c r="R59" s="182"/>
      <c r="S59" s="173"/>
      <c r="T59" s="173"/>
    </row>
    <row r="60" spans="1:20" ht="12.75" customHeight="1">
      <c r="A60" s="6"/>
      <c r="B60" s="200">
        <v>16</v>
      </c>
      <c r="C60" s="201"/>
      <c r="D60" s="201"/>
      <c r="E60" s="201"/>
      <c r="F60" s="201"/>
      <c r="G60" s="201"/>
      <c r="H60" s="506" t="s">
        <v>167</v>
      </c>
      <c r="I60" s="506"/>
      <c r="J60" s="506"/>
      <c r="K60" s="208">
        <v>6</v>
      </c>
      <c r="L60" s="206"/>
      <c r="M60" s="444">
        <f>IF(AUSS&gt;=16,AUSS-16,0)</f>
        <v>4</v>
      </c>
      <c r="N60" s="205"/>
      <c r="O60" s="206"/>
      <c r="P60" s="207"/>
      <c r="Q60" s="445">
        <f t="shared" si="4"/>
        <v>10</v>
      </c>
      <c r="R60" s="182"/>
      <c r="S60" s="173"/>
      <c r="T60" s="173"/>
    </row>
    <row r="61" spans="1:20" ht="12.75" customHeight="1">
      <c r="A61" s="6"/>
      <c r="B61" s="200">
        <v>16</v>
      </c>
      <c r="C61" s="201"/>
      <c r="D61" s="201"/>
      <c r="E61" s="201"/>
      <c r="F61" s="201"/>
      <c r="G61" s="201"/>
      <c r="H61" s="506" t="s">
        <v>168</v>
      </c>
      <c r="I61" s="506"/>
      <c r="J61" s="506"/>
      <c r="K61" s="208">
        <v>7</v>
      </c>
      <c r="L61" s="206"/>
      <c r="M61" s="444">
        <f>IF(AUSS&gt;=16,AUSS-16,0)</f>
        <v>4</v>
      </c>
      <c r="N61" s="205"/>
      <c r="O61" s="206"/>
      <c r="P61" s="207"/>
      <c r="Q61" s="445">
        <f t="shared" si="4"/>
        <v>11</v>
      </c>
      <c r="R61" s="182"/>
      <c r="S61" s="173"/>
      <c r="T61" s="173"/>
    </row>
    <row r="62" spans="1:20" ht="12.75" customHeight="1">
      <c r="A62" s="6"/>
      <c r="B62" s="200">
        <v>16</v>
      </c>
      <c r="C62" s="201"/>
      <c r="D62" s="201"/>
      <c r="E62" s="201"/>
      <c r="F62" s="201"/>
      <c r="G62" s="201"/>
      <c r="H62" s="506" t="s">
        <v>169</v>
      </c>
      <c r="I62" s="506"/>
      <c r="J62" s="506"/>
      <c r="K62" s="202">
        <v>3</v>
      </c>
      <c r="L62" s="206"/>
      <c r="M62" s="444">
        <f>IF(AUSS&gt;=16,AUSS-16,0)</f>
        <v>4</v>
      </c>
      <c r="N62" s="205"/>
      <c r="O62" s="206"/>
      <c r="P62" s="207"/>
      <c r="Q62" s="445">
        <f t="shared" si="4"/>
        <v>7</v>
      </c>
      <c r="R62" s="182"/>
      <c r="S62" s="173"/>
      <c r="T62" s="173"/>
    </row>
    <row r="63" spans="1:20" ht="12.75" customHeight="1" thickBot="1">
      <c r="A63" s="6"/>
      <c r="B63" s="209">
        <v>18</v>
      </c>
      <c r="C63" s="210"/>
      <c r="D63" s="210"/>
      <c r="E63" s="210"/>
      <c r="F63" s="210"/>
      <c r="G63" s="210">
        <v>17</v>
      </c>
      <c r="H63" s="507" t="s">
        <v>170</v>
      </c>
      <c r="I63" s="507"/>
      <c r="J63" s="507"/>
      <c r="K63" s="211">
        <v>5</v>
      </c>
      <c r="L63" s="215"/>
      <c r="M63" s="446">
        <f>SUM(IF(AUSS&gt;=18,AUSS-18,0),IF(GE&gt;=17,GE-17,0))</f>
        <v>4</v>
      </c>
      <c r="N63" s="447"/>
      <c r="O63" s="448"/>
      <c r="P63" s="449"/>
      <c r="Q63" s="450">
        <f t="shared" si="4"/>
        <v>9</v>
      </c>
      <c r="R63" s="182"/>
      <c r="S63" s="173"/>
      <c r="T63" s="173"/>
    </row>
    <row r="64" spans="1:20" ht="12.75" customHeight="1" thickBot="1">
      <c r="A64" s="6"/>
      <c r="B64" s="218"/>
      <c r="C64" s="218"/>
      <c r="D64" s="218"/>
      <c r="E64" s="218"/>
      <c r="F64" s="218"/>
      <c r="G64" s="218"/>
      <c r="H64" s="7"/>
      <c r="I64" s="7"/>
      <c r="J64" s="7"/>
      <c r="K64" s="232"/>
      <c r="L64" s="232"/>
      <c r="M64" s="232"/>
      <c r="N64" s="232"/>
      <c r="O64" s="232"/>
      <c r="P64" s="232"/>
      <c r="Q64" s="232"/>
      <c r="R64" s="182"/>
      <c r="S64" s="173"/>
      <c r="T64" s="173"/>
    </row>
    <row r="65" spans="1:20" ht="12.75" customHeight="1">
      <c r="A65" s="6"/>
      <c r="B65" s="183">
        <v>0</v>
      </c>
      <c r="C65" s="183"/>
      <c r="D65" s="183">
        <v>4</v>
      </c>
      <c r="E65" s="183">
        <v>8</v>
      </c>
      <c r="F65" s="183">
        <v>4</v>
      </c>
      <c r="G65" s="183">
        <v>1</v>
      </c>
      <c r="H65" s="233" t="s">
        <v>43</v>
      </c>
      <c r="I65" s="234">
        <v>9</v>
      </c>
      <c r="J65" s="235" t="s">
        <v>171</v>
      </c>
      <c r="K65" s="513" t="s">
        <v>112</v>
      </c>
      <c r="L65" s="513"/>
      <c r="M65" s="513"/>
      <c r="N65" s="513"/>
      <c r="O65" s="513"/>
      <c r="P65" s="513"/>
      <c r="Q65" s="513"/>
      <c r="R65" s="182"/>
      <c r="S65" s="173"/>
      <c r="T65" s="173"/>
    </row>
    <row r="66" spans="1:20" ht="12.75" customHeight="1">
      <c r="A66" s="166"/>
      <c r="B66" s="236" t="s">
        <v>172</v>
      </c>
      <c r="C66" s="236" t="s">
        <v>173</v>
      </c>
      <c r="D66" s="237"/>
      <c r="E66" s="238"/>
      <c r="F66" s="238"/>
      <c r="G66" s="238"/>
      <c r="H66" s="167"/>
      <c r="I66" s="167"/>
      <c r="J66" s="167"/>
      <c r="K66" s="239"/>
      <c r="L66" s="239"/>
      <c r="M66" s="239"/>
      <c r="N66" s="239"/>
      <c r="O66" s="239"/>
      <c r="P66" s="240"/>
      <c r="Q66" s="241"/>
      <c r="R66" s="242"/>
      <c r="S66" s="173"/>
      <c r="T66" s="173"/>
    </row>
  </sheetData>
  <sheetProtection selectLockedCells="1" selectUnlockedCells="1"/>
  <mergeCells count="62">
    <mergeCell ref="H62:J62"/>
    <mergeCell ref="H63:J63"/>
    <mergeCell ref="K65:Q65"/>
    <mergeCell ref="H56:J56"/>
    <mergeCell ref="H57:J57"/>
    <mergeCell ref="H58:J58"/>
    <mergeCell ref="H59:J59"/>
    <mergeCell ref="H60:J60"/>
    <mergeCell ref="H61:J61"/>
    <mergeCell ref="H49:J49"/>
    <mergeCell ref="H50:J50"/>
    <mergeCell ref="H51:J51"/>
    <mergeCell ref="H52:J52"/>
    <mergeCell ref="H53:J53"/>
    <mergeCell ref="H55:J55"/>
    <mergeCell ref="H43:J43"/>
    <mergeCell ref="H44:J44"/>
    <mergeCell ref="H45:J45"/>
    <mergeCell ref="H46:J46"/>
    <mergeCell ref="H47:J47"/>
    <mergeCell ref="H48:J48"/>
    <mergeCell ref="H37:J37"/>
    <mergeCell ref="H38:J38"/>
    <mergeCell ref="H39:J39"/>
    <mergeCell ref="H41:J41"/>
    <mergeCell ref="H42:J42"/>
    <mergeCell ref="H31:J31"/>
    <mergeCell ref="H32:J32"/>
    <mergeCell ref="H33:J33"/>
    <mergeCell ref="H34:J34"/>
    <mergeCell ref="H35:J35"/>
    <mergeCell ref="H36:J36"/>
    <mergeCell ref="H23:J23"/>
    <mergeCell ref="H24:J24"/>
    <mergeCell ref="H25:J25"/>
    <mergeCell ref="H26:J26"/>
    <mergeCell ref="H27:J27"/>
    <mergeCell ref="H30:J30"/>
    <mergeCell ref="H17:J17"/>
    <mergeCell ref="H18:J18"/>
    <mergeCell ref="H19:J19"/>
    <mergeCell ref="H20:J20"/>
    <mergeCell ref="H21:J21"/>
    <mergeCell ref="H22:J22"/>
    <mergeCell ref="H10:J10"/>
    <mergeCell ref="H11:J11"/>
    <mergeCell ref="H12:J12"/>
    <mergeCell ref="H13:J13"/>
    <mergeCell ref="H14:J14"/>
    <mergeCell ref="H15:J15"/>
    <mergeCell ref="H8:J8"/>
    <mergeCell ref="H9:J9"/>
    <mergeCell ref="B1:J2"/>
    <mergeCell ref="K2:K7"/>
    <mergeCell ref="L2:L7"/>
    <mergeCell ref="M2:M7"/>
    <mergeCell ref="N2:N7"/>
    <mergeCell ref="O2:O7"/>
    <mergeCell ref="P2:P7"/>
    <mergeCell ref="Q2:Q7"/>
    <mergeCell ref="B4:C4"/>
    <mergeCell ref="D4:I4"/>
  </mergeCells>
  <hyperlinks>
    <hyperlink ref="K65" r:id="rId1" display="www.imdacil.de"/>
  </hyperlink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C21" sqref="C21:D21"/>
    </sheetView>
  </sheetViews>
  <sheetFormatPr defaultColWidth="11.00390625" defaultRowHeight="15.75"/>
  <cols>
    <col min="1" max="1" width="1.25" style="5" customWidth="1"/>
    <col min="2" max="2" width="10.625" style="5" customWidth="1"/>
    <col min="3" max="4" width="12.625" style="5" customWidth="1"/>
    <col min="5" max="5" width="10.625" style="5" customWidth="1"/>
    <col min="6" max="7" width="12.625" style="5" customWidth="1"/>
    <col min="8" max="8" width="10.625" style="243" customWidth="1"/>
    <col min="9" max="9" width="1.25" style="5" customWidth="1"/>
    <col min="10" max="16384" width="11.00390625" style="5" customWidth="1"/>
  </cols>
  <sheetData>
    <row r="1" spans="1:9" ht="12.75">
      <c r="A1" s="244"/>
      <c r="B1" s="245"/>
      <c r="C1" s="245"/>
      <c r="D1" s="245"/>
      <c r="E1" s="245"/>
      <c r="F1" s="245"/>
      <c r="G1" s="245"/>
      <c r="H1" s="246"/>
      <c r="I1" s="247"/>
    </row>
    <row r="2" spans="1:9" ht="12.75" customHeight="1">
      <c r="A2" s="514" t="s">
        <v>0</v>
      </c>
      <c r="B2" s="514"/>
      <c r="C2" s="514"/>
      <c r="D2" s="514"/>
      <c r="E2" s="514"/>
      <c r="F2" s="514"/>
      <c r="G2" s="514"/>
      <c r="H2" s="514"/>
      <c r="I2" s="514"/>
    </row>
    <row r="3" spans="1:9" ht="12.75" customHeight="1">
      <c r="A3" s="514"/>
      <c r="B3" s="514"/>
      <c r="C3" s="514"/>
      <c r="D3" s="514"/>
      <c r="E3" s="514"/>
      <c r="F3" s="514"/>
      <c r="G3" s="514"/>
      <c r="H3" s="514"/>
      <c r="I3" s="514"/>
    </row>
    <row r="4" spans="1:9" ht="12.75" customHeight="1">
      <c r="A4" s="6"/>
      <c r="B4" s="7"/>
      <c r="C4" s="7"/>
      <c r="D4" s="7"/>
      <c r="E4" s="7"/>
      <c r="F4" s="7"/>
      <c r="G4" s="7"/>
      <c r="H4" s="248"/>
      <c r="I4" s="8"/>
    </row>
    <row r="5" spans="1:9" ht="12.75" customHeight="1">
      <c r="A5" s="515" t="s">
        <v>174</v>
      </c>
      <c r="B5" s="515"/>
      <c r="C5" s="515"/>
      <c r="D5" s="515"/>
      <c r="E5" s="515"/>
      <c r="F5" s="515"/>
      <c r="G5" s="515"/>
      <c r="H5" s="515"/>
      <c r="I5" s="515"/>
    </row>
    <row r="6" spans="1:9" ht="12.75" customHeight="1">
      <c r="A6" s="6"/>
      <c r="B6" s="7"/>
      <c r="C6" s="7"/>
      <c r="D6" s="7"/>
      <c r="E6" s="7"/>
      <c r="F6" s="7"/>
      <c r="G6" s="7"/>
      <c r="H6" s="248"/>
      <c r="I6" s="8"/>
    </row>
    <row r="7" spans="1:9" ht="12.75" customHeight="1">
      <c r="A7" s="6"/>
      <c r="B7" s="249" t="s">
        <v>5</v>
      </c>
      <c r="C7" s="501" t="str">
        <f>Name</f>
        <v>Thorus</v>
      </c>
      <c r="D7" s="501"/>
      <c r="E7" s="501"/>
      <c r="F7" s="178"/>
      <c r="G7" s="178"/>
      <c r="H7" s="178"/>
      <c r="I7" s="8"/>
    </row>
    <row r="8" spans="1:9" ht="12.75" customHeight="1">
      <c r="A8" s="6"/>
      <c r="B8" s="7"/>
      <c r="C8" s="7"/>
      <c r="D8" s="7"/>
      <c r="E8" s="7"/>
      <c r="F8" s="7"/>
      <c r="G8" s="7"/>
      <c r="H8" s="248"/>
      <c r="I8" s="8"/>
    </row>
    <row r="9" spans="1:9" ht="12.75" customHeight="1">
      <c r="A9" s="6"/>
      <c r="B9" s="250" t="s">
        <v>175</v>
      </c>
      <c r="C9" s="516" t="s">
        <v>176</v>
      </c>
      <c r="D9" s="516"/>
      <c r="E9" s="39" t="s">
        <v>177</v>
      </c>
      <c r="F9" s="486" t="s">
        <v>176</v>
      </c>
      <c r="G9" s="486"/>
      <c r="H9" s="39" t="s">
        <v>177</v>
      </c>
      <c r="I9" s="8"/>
    </row>
    <row r="10" spans="1:9" ht="12.75" customHeight="1">
      <c r="A10" s="6"/>
      <c r="B10" s="251" t="s">
        <v>178</v>
      </c>
      <c r="C10" s="517" t="s">
        <v>179</v>
      </c>
      <c r="D10" s="517"/>
      <c r="E10" s="252">
        <v>40</v>
      </c>
      <c r="F10" s="518" t="s">
        <v>180</v>
      </c>
      <c r="G10" s="518"/>
      <c r="H10" s="253">
        <f>1200+30</f>
        <v>1230</v>
      </c>
      <c r="I10" s="8"/>
    </row>
    <row r="11" spans="1:9" ht="12.75" customHeight="1">
      <c r="A11" s="6"/>
      <c r="B11" s="251"/>
      <c r="C11" s="517" t="s">
        <v>181</v>
      </c>
      <c r="D11" s="517"/>
      <c r="E11" s="252">
        <v>700</v>
      </c>
      <c r="F11" s="519" t="s">
        <v>182</v>
      </c>
      <c r="G11" s="519"/>
      <c r="H11" s="254">
        <v>2000</v>
      </c>
      <c r="I11" s="8"/>
    </row>
    <row r="12" spans="1:15" ht="12.75" customHeight="1">
      <c r="A12" s="6"/>
      <c r="B12" s="251"/>
      <c r="C12" s="517" t="s">
        <v>183</v>
      </c>
      <c r="D12" s="517"/>
      <c r="E12" s="252">
        <v>500</v>
      </c>
      <c r="F12" s="520" t="s">
        <v>184</v>
      </c>
      <c r="G12" s="520"/>
      <c r="H12" s="254">
        <v>300</v>
      </c>
      <c r="I12" s="8"/>
      <c r="J12"/>
      <c r="K12"/>
      <c r="L12"/>
      <c r="M12"/>
      <c r="N12"/>
      <c r="O12"/>
    </row>
    <row r="13" spans="1:15" ht="12.75" customHeight="1">
      <c r="A13" s="6"/>
      <c r="B13" s="251"/>
      <c r="C13" s="517" t="s">
        <v>185</v>
      </c>
      <c r="D13" s="517"/>
      <c r="E13" s="252">
        <v>50</v>
      </c>
      <c r="F13" s="520" t="s">
        <v>186</v>
      </c>
      <c r="G13" s="520"/>
      <c r="H13" s="254"/>
      <c r="I13" s="8"/>
      <c r="J13"/>
      <c r="K13"/>
      <c r="L13"/>
      <c r="M13"/>
      <c r="N13"/>
      <c r="O13"/>
    </row>
    <row r="14" spans="1:15" ht="12.75" customHeight="1">
      <c r="A14" s="6"/>
      <c r="B14" s="251"/>
      <c r="C14" s="520"/>
      <c r="D14" s="520"/>
      <c r="E14" s="252"/>
      <c r="F14" s="520"/>
      <c r="G14" s="520"/>
      <c r="H14" s="254"/>
      <c r="I14" s="8"/>
      <c r="J14"/>
      <c r="K14"/>
      <c r="L14"/>
      <c r="M14"/>
      <c r="N14"/>
      <c r="O14"/>
    </row>
    <row r="15" spans="1:15" ht="12.75" customHeight="1">
      <c r="A15" s="6"/>
      <c r="B15" s="251" t="s">
        <v>187</v>
      </c>
      <c r="C15" s="520" t="s">
        <v>188</v>
      </c>
      <c r="D15" s="520"/>
      <c r="E15" s="252">
        <v>1150</v>
      </c>
      <c r="F15" s="520" t="s">
        <v>189</v>
      </c>
      <c r="G15" s="520"/>
      <c r="H15" s="254">
        <v>1100</v>
      </c>
      <c r="I15" s="8"/>
      <c r="J15"/>
      <c r="K15"/>
      <c r="L15"/>
      <c r="M15"/>
      <c r="N15"/>
      <c r="O15"/>
    </row>
    <row r="16" spans="1:15" ht="12.75" customHeight="1">
      <c r="A16" s="6"/>
      <c r="B16" s="251"/>
      <c r="C16" s="520" t="s">
        <v>190</v>
      </c>
      <c r="D16" s="520"/>
      <c r="E16" s="252">
        <v>240</v>
      </c>
      <c r="F16" s="520" t="s">
        <v>191</v>
      </c>
      <c r="G16" s="520"/>
      <c r="H16" s="254">
        <v>450</v>
      </c>
      <c r="I16" s="8"/>
      <c r="J16"/>
      <c r="K16"/>
      <c r="L16"/>
      <c r="M16"/>
      <c r="N16"/>
      <c r="O16"/>
    </row>
    <row r="17" spans="1:15" ht="12.75" customHeight="1">
      <c r="A17" s="6"/>
      <c r="B17" s="251"/>
      <c r="C17" s="520" t="s">
        <v>192</v>
      </c>
      <c r="D17" s="520"/>
      <c r="E17" s="252">
        <v>210</v>
      </c>
      <c r="F17" s="520" t="s">
        <v>193</v>
      </c>
      <c r="G17" s="520"/>
      <c r="H17" s="254">
        <v>1440</v>
      </c>
      <c r="I17" s="8"/>
      <c r="J17"/>
      <c r="K17"/>
      <c r="L17"/>
      <c r="M17"/>
      <c r="N17"/>
      <c r="O17"/>
    </row>
    <row r="18" spans="1:15" ht="12.75" customHeight="1">
      <c r="A18" s="6"/>
      <c r="B18" s="251"/>
      <c r="C18" s="520" t="s">
        <v>194</v>
      </c>
      <c r="D18" s="520"/>
      <c r="E18" s="252">
        <v>760</v>
      </c>
      <c r="F18" s="520" t="s">
        <v>294</v>
      </c>
      <c r="G18" s="520"/>
      <c r="H18" s="254"/>
      <c r="I18" s="8"/>
      <c r="J18"/>
      <c r="K18"/>
      <c r="L18"/>
      <c r="M18"/>
      <c r="N18"/>
      <c r="O18"/>
    </row>
    <row r="19" spans="1:15" ht="12.75" customHeight="1">
      <c r="A19" s="6"/>
      <c r="B19" s="251"/>
      <c r="C19" s="520"/>
      <c r="D19" s="520"/>
      <c r="E19" s="252"/>
      <c r="F19" s="520" t="s">
        <v>195</v>
      </c>
      <c r="G19" s="520"/>
      <c r="H19" s="254"/>
      <c r="I19" s="8"/>
      <c r="J19"/>
      <c r="K19"/>
      <c r="L19"/>
      <c r="M19"/>
      <c r="N19"/>
      <c r="O19"/>
    </row>
    <row r="20" spans="1:15" ht="12.75" customHeight="1">
      <c r="A20" s="6"/>
      <c r="B20" s="251"/>
      <c r="C20" s="520"/>
      <c r="D20" s="520"/>
      <c r="E20" s="252"/>
      <c r="F20" s="520"/>
      <c r="G20" s="520"/>
      <c r="H20" s="255"/>
      <c r="I20" s="8"/>
      <c r="J20"/>
      <c r="K20"/>
      <c r="L20"/>
      <c r="M20"/>
      <c r="N20"/>
      <c r="O20"/>
    </row>
    <row r="21" spans="1:15" ht="12.75" customHeight="1">
      <c r="A21" s="6"/>
      <c r="B21" s="251"/>
      <c r="C21" s="520"/>
      <c r="D21" s="520"/>
      <c r="E21" s="252"/>
      <c r="F21" s="520"/>
      <c r="G21" s="520"/>
      <c r="H21" s="254"/>
      <c r="I21" s="8"/>
      <c r="J21"/>
      <c r="K21"/>
      <c r="L21"/>
      <c r="M21"/>
      <c r="N21"/>
      <c r="O21"/>
    </row>
    <row r="22" spans="1:15" ht="12.75" customHeight="1">
      <c r="A22" s="6"/>
      <c r="B22" s="251"/>
      <c r="C22" s="520"/>
      <c r="D22" s="520"/>
      <c r="E22" s="252"/>
      <c r="F22" s="520"/>
      <c r="G22" s="520"/>
      <c r="H22" s="254"/>
      <c r="I22" s="8"/>
      <c r="J22"/>
      <c r="K22"/>
      <c r="L22"/>
      <c r="M22"/>
      <c r="N22"/>
      <c r="O22"/>
    </row>
    <row r="23" spans="1:15" ht="12.75" customHeight="1">
      <c r="A23" s="6"/>
      <c r="B23" s="251"/>
      <c r="C23" s="520"/>
      <c r="D23" s="520"/>
      <c r="E23" s="252"/>
      <c r="F23" s="520"/>
      <c r="G23" s="520"/>
      <c r="H23" s="254"/>
      <c r="I23" s="8"/>
      <c r="J23"/>
      <c r="K23"/>
      <c r="L23"/>
      <c r="M23"/>
      <c r="N23"/>
      <c r="O23"/>
    </row>
    <row r="24" spans="1:15" ht="12.75" customHeight="1">
      <c r="A24" s="6"/>
      <c r="B24" s="251"/>
      <c r="C24" s="520"/>
      <c r="D24" s="520"/>
      <c r="E24" s="252"/>
      <c r="F24" s="520"/>
      <c r="G24" s="520"/>
      <c r="H24" s="254"/>
      <c r="I24" s="8"/>
      <c r="J24"/>
      <c r="K24"/>
      <c r="L24"/>
      <c r="M24"/>
      <c r="N24"/>
      <c r="O24"/>
    </row>
    <row r="25" spans="1:9" ht="12.75" customHeight="1">
      <c r="A25" s="6"/>
      <c r="B25" s="251"/>
      <c r="C25" s="520"/>
      <c r="D25" s="520"/>
      <c r="E25" s="252"/>
      <c r="F25" s="520"/>
      <c r="G25" s="520"/>
      <c r="H25" s="254"/>
      <c r="I25" s="8"/>
    </row>
    <row r="26" spans="1:9" ht="12.75" customHeight="1">
      <c r="A26" s="6"/>
      <c r="B26" s="251"/>
      <c r="C26" s="520"/>
      <c r="D26" s="520"/>
      <c r="E26" s="252"/>
      <c r="F26" s="520"/>
      <c r="G26" s="520"/>
      <c r="H26" s="254"/>
      <c r="I26" s="8"/>
    </row>
    <row r="27" spans="1:9" ht="12.75" customHeight="1">
      <c r="A27" s="6"/>
      <c r="B27" s="251"/>
      <c r="C27" s="520"/>
      <c r="D27" s="520"/>
      <c r="E27" s="252"/>
      <c r="F27" s="520"/>
      <c r="G27" s="520"/>
      <c r="H27" s="255"/>
      <c r="I27" s="8"/>
    </row>
    <row r="28" spans="1:9" ht="12.75" customHeight="1">
      <c r="A28" s="6"/>
      <c r="B28" s="251"/>
      <c r="C28" s="520" t="s">
        <v>286</v>
      </c>
      <c r="D28" s="520"/>
      <c r="E28" s="252"/>
      <c r="F28" s="520"/>
      <c r="G28" s="520"/>
      <c r="H28" s="254"/>
      <c r="I28" s="8"/>
    </row>
    <row r="29" spans="1:9" ht="12.75" customHeight="1">
      <c r="A29" s="6"/>
      <c r="B29" s="251"/>
      <c r="C29" s="520"/>
      <c r="D29" s="520"/>
      <c r="E29" s="252"/>
      <c r="F29" s="520"/>
      <c r="G29" s="520"/>
      <c r="H29" s="254"/>
      <c r="I29" s="8"/>
    </row>
    <row r="30" spans="1:9" ht="12.75" customHeight="1">
      <c r="A30" s="6"/>
      <c r="B30" s="251"/>
      <c r="C30" s="520"/>
      <c r="D30" s="520"/>
      <c r="E30" s="252"/>
      <c r="F30" s="520"/>
      <c r="G30" s="520"/>
      <c r="H30" s="255"/>
      <c r="I30" s="8"/>
    </row>
    <row r="31" spans="1:9" ht="12.75" customHeight="1">
      <c r="A31" s="6"/>
      <c r="B31" s="251"/>
      <c r="C31" s="520"/>
      <c r="D31" s="520"/>
      <c r="E31" s="252"/>
      <c r="F31" s="520"/>
      <c r="G31" s="520"/>
      <c r="H31" s="255"/>
      <c r="I31" s="8"/>
    </row>
    <row r="32" spans="1:9" ht="12.75" customHeight="1">
      <c r="A32" s="6"/>
      <c r="B32" s="251"/>
      <c r="C32" s="520"/>
      <c r="D32" s="520"/>
      <c r="E32" s="252"/>
      <c r="F32" s="520"/>
      <c r="G32" s="520"/>
      <c r="H32" s="256"/>
      <c r="I32" s="8"/>
    </row>
    <row r="33" spans="1:9" ht="12.75" customHeight="1">
      <c r="A33" s="6"/>
      <c r="B33" s="251"/>
      <c r="C33" s="520"/>
      <c r="D33" s="520"/>
      <c r="E33" s="252"/>
      <c r="F33" s="520"/>
      <c r="G33" s="520"/>
      <c r="H33" s="256"/>
      <c r="I33" s="8"/>
    </row>
    <row r="34" spans="1:9" ht="12.75" customHeight="1">
      <c r="A34" s="6"/>
      <c r="B34" s="251"/>
      <c r="C34" s="520"/>
      <c r="D34" s="520"/>
      <c r="E34" s="252"/>
      <c r="F34" s="520"/>
      <c r="G34" s="520"/>
      <c r="H34" s="256"/>
      <c r="I34" s="8"/>
    </row>
    <row r="35" spans="1:9" ht="12.75" customHeight="1">
      <c r="A35" s="6"/>
      <c r="B35" s="251"/>
      <c r="C35" s="520"/>
      <c r="D35" s="520"/>
      <c r="E35" s="252"/>
      <c r="F35" s="520"/>
      <c r="G35" s="520"/>
      <c r="H35" s="256"/>
      <c r="I35" s="8"/>
    </row>
    <row r="36" spans="1:9" ht="12.75" customHeight="1">
      <c r="A36" s="6"/>
      <c r="B36" s="251"/>
      <c r="C36" s="520"/>
      <c r="D36" s="520"/>
      <c r="E36" s="252"/>
      <c r="F36" s="520"/>
      <c r="G36" s="520"/>
      <c r="H36" s="255"/>
      <c r="I36" s="8"/>
    </row>
    <row r="37" spans="1:9" ht="12.75" customHeight="1">
      <c r="A37" s="6"/>
      <c r="B37" s="251"/>
      <c r="C37" s="520"/>
      <c r="D37" s="520"/>
      <c r="E37" s="252"/>
      <c r="F37" s="520"/>
      <c r="G37" s="520"/>
      <c r="H37" s="256"/>
      <c r="I37" s="8"/>
    </row>
    <row r="38" spans="1:9" ht="12.75" customHeight="1">
      <c r="A38" s="6"/>
      <c r="B38" s="251"/>
      <c r="C38" s="520"/>
      <c r="D38" s="520"/>
      <c r="E38" s="252"/>
      <c r="F38" s="520"/>
      <c r="G38" s="520"/>
      <c r="H38" s="255"/>
      <c r="I38" s="8"/>
    </row>
    <row r="39" spans="1:9" ht="12.75" customHeight="1">
      <c r="A39" s="6"/>
      <c r="B39" s="251"/>
      <c r="C39" s="520"/>
      <c r="D39" s="520"/>
      <c r="E39" s="252"/>
      <c r="F39" s="520"/>
      <c r="G39" s="520"/>
      <c r="H39" s="255"/>
      <c r="I39" s="8"/>
    </row>
    <row r="40" spans="1:9" ht="12.75" customHeight="1">
      <c r="A40" s="6"/>
      <c r="B40" s="251"/>
      <c r="C40" s="520"/>
      <c r="D40" s="520"/>
      <c r="E40" s="252"/>
      <c r="F40" s="520"/>
      <c r="G40" s="520"/>
      <c r="H40" s="255"/>
      <c r="I40" s="8"/>
    </row>
    <row r="41" spans="1:9" ht="12.75" customHeight="1">
      <c r="A41" s="6"/>
      <c r="B41" s="251"/>
      <c r="C41" s="520"/>
      <c r="D41" s="520"/>
      <c r="E41" s="252"/>
      <c r="F41" s="520"/>
      <c r="G41" s="520"/>
      <c r="H41" s="255"/>
      <c r="I41" s="8"/>
    </row>
    <row r="42" spans="1:9" ht="12.75" customHeight="1">
      <c r="A42" s="6"/>
      <c r="B42" s="251"/>
      <c r="C42" s="520"/>
      <c r="D42" s="520"/>
      <c r="E42" s="252"/>
      <c r="F42" s="520"/>
      <c r="G42" s="520"/>
      <c r="H42" s="255"/>
      <c r="I42" s="8"/>
    </row>
    <row r="43" spans="1:9" ht="12.75" customHeight="1">
      <c r="A43" s="6"/>
      <c r="B43" s="251"/>
      <c r="C43" s="520"/>
      <c r="D43" s="520"/>
      <c r="E43" s="252"/>
      <c r="F43" s="520"/>
      <c r="G43" s="520"/>
      <c r="H43" s="255"/>
      <c r="I43" s="8"/>
    </row>
    <row r="44" spans="1:9" ht="12.75" customHeight="1">
      <c r="A44" s="6"/>
      <c r="B44" s="251"/>
      <c r="C44" s="520"/>
      <c r="D44" s="520"/>
      <c r="E44" s="252"/>
      <c r="F44" s="520"/>
      <c r="G44" s="520"/>
      <c r="H44" s="255"/>
      <c r="I44" s="8"/>
    </row>
    <row r="45" spans="1:9" ht="12.75" customHeight="1">
      <c r="A45" s="6"/>
      <c r="B45" s="251"/>
      <c r="C45" s="520"/>
      <c r="D45" s="520"/>
      <c r="E45" s="252"/>
      <c r="F45" s="520"/>
      <c r="G45" s="520"/>
      <c r="H45" s="256"/>
      <c r="I45" s="8"/>
    </row>
    <row r="46" spans="1:9" ht="12.75" customHeight="1">
      <c r="A46" s="6"/>
      <c r="B46" s="251"/>
      <c r="C46" s="520"/>
      <c r="D46" s="520"/>
      <c r="E46" s="252"/>
      <c r="F46" s="520"/>
      <c r="G46" s="520"/>
      <c r="H46" s="255"/>
      <c r="I46" s="8"/>
    </row>
    <row r="47" spans="1:9" ht="12.75" customHeight="1">
      <c r="A47" s="6"/>
      <c r="B47" s="251"/>
      <c r="C47" s="520"/>
      <c r="D47" s="520"/>
      <c r="E47" s="252"/>
      <c r="F47" s="520"/>
      <c r="G47" s="520"/>
      <c r="H47" s="255"/>
      <c r="I47" s="8"/>
    </row>
    <row r="48" spans="1:9" ht="12.75" customHeight="1">
      <c r="A48" s="6"/>
      <c r="B48" s="251"/>
      <c r="C48" s="520"/>
      <c r="D48" s="520"/>
      <c r="E48" s="252"/>
      <c r="F48" s="520"/>
      <c r="G48" s="520"/>
      <c r="H48" s="255"/>
      <c r="I48" s="8"/>
    </row>
    <row r="49" spans="1:9" ht="12.75" customHeight="1">
      <c r="A49" s="6"/>
      <c r="B49" s="251"/>
      <c r="C49" s="520"/>
      <c r="D49" s="520"/>
      <c r="E49" s="252"/>
      <c r="F49" s="520"/>
      <c r="G49" s="520"/>
      <c r="H49" s="256"/>
      <c r="I49" s="8"/>
    </row>
    <row r="50" spans="1:9" ht="12.75" customHeight="1">
      <c r="A50" s="6"/>
      <c r="B50" s="251"/>
      <c r="C50" s="520"/>
      <c r="D50" s="520"/>
      <c r="E50" s="252"/>
      <c r="F50" s="520"/>
      <c r="G50" s="520"/>
      <c r="H50" s="255"/>
      <c r="I50" s="8"/>
    </row>
    <row r="51" spans="1:9" ht="12.75" customHeight="1">
      <c r="A51" s="6"/>
      <c r="B51" s="251"/>
      <c r="C51" s="520"/>
      <c r="D51" s="520"/>
      <c r="E51" s="252"/>
      <c r="F51" s="520"/>
      <c r="G51" s="520"/>
      <c r="H51" s="256"/>
      <c r="I51" s="8"/>
    </row>
    <row r="52" spans="1:9" ht="12.75" customHeight="1">
      <c r="A52" s="6"/>
      <c r="B52" s="251"/>
      <c r="C52" s="520"/>
      <c r="D52" s="520"/>
      <c r="E52" s="252"/>
      <c r="F52" s="520"/>
      <c r="G52" s="520"/>
      <c r="H52" s="256"/>
      <c r="I52" s="8"/>
    </row>
    <row r="53" spans="1:9" ht="12.75" customHeight="1">
      <c r="A53" s="6"/>
      <c r="B53" s="251"/>
      <c r="C53" s="520"/>
      <c r="D53" s="520"/>
      <c r="E53" s="252"/>
      <c r="F53" s="520"/>
      <c r="G53" s="520"/>
      <c r="H53" s="256"/>
      <c r="I53" s="8"/>
    </row>
    <row r="54" spans="1:9" ht="12.75" customHeight="1">
      <c r="A54" s="6"/>
      <c r="B54" s="251"/>
      <c r="C54" s="520"/>
      <c r="D54" s="520"/>
      <c r="E54" s="252"/>
      <c r="F54" s="520"/>
      <c r="G54" s="520"/>
      <c r="H54" s="255"/>
      <c r="I54" s="8"/>
    </row>
    <row r="55" spans="1:9" ht="12.75" customHeight="1">
      <c r="A55" s="6"/>
      <c r="B55" s="251"/>
      <c r="C55" s="520"/>
      <c r="D55" s="520"/>
      <c r="E55" s="252"/>
      <c r="F55" s="520"/>
      <c r="G55" s="520"/>
      <c r="H55" s="255"/>
      <c r="I55" s="8"/>
    </row>
    <row r="56" spans="1:9" ht="12.75" customHeight="1">
      <c r="A56" s="6"/>
      <c r="B56" s="251"/>
      <c r="C56" s="520"/>
      <c r="D56" s="520"/>
      <c r="E56" s="252"/>
      <c r="F56" s="520"/>
      <c r="G56" s="520"/>
      <c r="H56" s="255"/>
      <c r="I56" s="8"/>
    </row>
    <row r="57" spans="1:9" ht="12.75" customHeight="1">
      <c r="A57" s="6"/>
      <c r="B57" s="251"/>
      <c r="C57" s="520"/>
      <c r="D57" s="520"/>
      <c r="E57" s="252"/>
      <c r="F57" s="520"/>
      <c r="G57" s="520"/>
      <c r="H57" s="255"/>
      <c r="I57" s="8"/>
    </row>
    <row r="58" spans="1:9" ht="12.75" customHeight="1">
      <c r="A58" s="6"/>
      <c r="B58" s="251"/>
      <c r="C58" s="520"/>
      <c r="D58" s="520"/>
      <c r="E58" s="252"/>
      <c r="F58" s="520"/>
      <c r="G58" s="520"/>
      <c r="H58" s="255"/>
      <c r="I58" s="8"/>
    </row>
    <row r="59" spans="1:9" ht="12.75" customHeight="1">
      <c r="A59" s="6"/>
      <c r="B59" s="257"/>
      <c r="C59" s="521"/>
      <c r="D59" s="521"/>
      <c r="E59" s="258"/>
      <c r="F59" s="521"/>
      <c r="G59" s="521"/>
      <c r="H59" s="259"/>
      <c r="I59" s="8"/>
    </row>
    <row r="60" spans="1:9" ht="12.75" customHeight="1">
      <c r="A60" s="6"/>
      <c r="B60" s="260" t="s">
        <v>196</v>
      </c>
      <c r="C60" s="261"/>
      <c r="D60" s="262" t="s">
        <v>197</v>
      </c>
      <c r="E60" s="261"/>
      <c r="F60" s="262" t="s">
        <v>198</v>
      </c>
      <c r="G60" s="263" t="s">
        <v>288</v>
      </c>
      <c r="H60" s="264">
        <f>(TB*20)+(TS*10)+(TG*5)</f>
        <v>135</v>
      </c>
      <c r="I60" s="8"/>
    </row>
    <row r="61" spans="1:9" ht="12.75" customHeight="1" thickBot="1">
      <c r="A61" s="6"/>
      <c r="B61" s="522" t="s">
        <v>199</v>
      </c>
      <c r="C61" s="522"/>
      <c r="F61" s="523" t="s">
        <v>200</v>
      </c>
      <c r="G61" s="523"/>
      <c r="H61" s="264">
        <f>SUM($H$10:$H$60)+SUM(E10:E59)</f>
        <v>10305</v>
      </c>
      <c r="I61" s="8"/>
    </row>
    <row r="62" spans="1:9" ht="12.75" customHeight="1" thickBot="1">
      <c r="A62" s="6"/>
      <c r="B62" s="526" t="s">
        <v>287</v>
      </c>
      <c r="C62" s="527"/>
      <c r="D62" s="425">
        <f>(Marschieren*0.2+5)-(((Gesamtgewicht/1000)/2)*0.2)</f>
        <v>6.5695</v>
      </c>
      <c r="F62" s="524" t="s">
        <v>201</v>
      </c>
      <c r="G62" s="524"/>
      <c r="H62" s="265">
        <f>Tragkraft-Gesamtgewicht</f>
        <v>19695</v>
      </c>
      <c r="I62" s="8"/>
    </row>
    <row r="63" spans="1:9" ht="12.75" customHeight="1">
      <c r="A63" s="6"/>
      <c r="B63" s="7"/>
      <c r="C63" s="7"/>
      <c r="D63" s="7"/>
      <c r="E63" s="7"/>
      <c r="F63" s="7"/>
      <c r="G63" s="7"/>
      <c r="H63" s="248"/>
      <c r="I63" s="8"/>
    </row>
    <row r="64" spans="1:9" ht="12.75" customHeight="1">
      <c r="A64" s="6"/>
      <c r="B64" s="7"/>
      <c r="C64" s="525" t="s">
        <v>112</v>
      </c>
      <c r="D64" s="525"/>
      <c r="E64" s="525"/>
      <c r="F64" s="525"/>
      <c r="G64" s="525"/>
      <c r="H64" s="248"/>
      <c r="I64" s="8"/>
    </row>
    <row r="65" spans="1:9" ht="12.75">
      <c r="A65" s="266"/>
      <c r="B65" s="267"/>
      <c r="C65" s="267"/>
      <c r="D65" s="267"/>
      <c r="E65" s="267"/>
      <c r="F65" s="267"/>
      <c r="G65" s="267"/>
      <c r="H65" s="268"/>
      <c r="I65" s="269"/>
    </row>
  </sheetData>
  <sheetProtection selectLockedCells="1" selectUnlockedCells="1"/>
  <mergeCells count="110">
    <mergeCell ref="C59:D59"/>
    <mergeCell ref="F59:G59"/>
    <mergeCell ref="B61:C61"/>
    <mergeCell ref="F61:G61"/>
    <mergeCell ref="F62:G62"/>
    <mergeCell ref="C64:G64"/>
    <mergeCell ref="B62:C62"/>
    <mergeCell ref="C56:D56"/>
    <mergeCell ref="F56:G56"/>
    <mergeCell ref="C57:D57"/>
    <mergeCell ref="F57:G57"/>
    <mergeCell ref="C58:D58"/>
    <mergeCell ref="F58:G58"/>
    <mergeCell ref="C53:D53"/>
    <mergeCell ref="F53:G53"/>
    <mergeCell ref="C54:D54"/>
    <mergeCell ref="F54:G54"/>
    <mergeCell ref="C55:D55"/>
    <mergeCell ref="F55:G55"/>
    <mergeCell ref="C50:D50"/>
    <mergeCell ref="F50:G50"/>
    <mergeCell ref="C51:D51"/>
    <mergeCell ref="F51:G51"/>
    <mergeCell ref="C52:D52"/>
    <mergeCell ref="F52:G52"/>
    <mergeCell ref="C47:D47"/>
    <mergeCell ref="F47:G47"/>
    <mergeCell ref="C48:D48"/>
    <mergeCell ref="F48:G48"/>
    <mergeCell ref="C49:D49"/>
    <mergeCell ref="F49:G49"/>
    <mergeCell ref="C44:D44"/>
    <mergeCell ref="F44:G44"/>
    <mergeCell ref="C45:D45"/>
    <mergeCell ref="F45:G45"/>
    <mergeCell ref="C46:D46"/>
    <mergeCell ref="F46:G46"/>
    <mergeCell ref="C41:D41"/>
    <mergeCell ref="F41:G41"/>
    <mergeCell ref="C42:D42"/>
    <mergeCell ref="F42:G42"/>
    <mergeCell ref="C43:D43"/>
    <mergeCell ref="F43:G43"/>
    <mergeCell ref="C38:D38"/>
    <mergeCell ref="F38:G38"/>
    <mergeCell ref="C39:D39"/>
    <mergeCell ref="F39:G39"/>
    <mergeCell ref="C40:D40"/>
    <mergeCell ref="F40:G40"/>
    <mergeCell ref="C35:D35"/>
    <mergeCell ref="F35:G35"/>
    <mergeCell ref="C36:D36"/>
    <mergeCell ref="F36:G36"/>
    <mergeCell ref="C37:D37"/>
    <mergeCell ref="F37:G37"/>
    <mergeCell ref="C32:D32"/>
    <mergeCell ref="F32:G32"/>
    <mergeCell ref="C33:D33"/>
    <mergeCell ref="F33:G33"/>
    <mergeCell ref="C34:D34"/>
    <mergeCell ref="F34:G34"/>
    <mergeCell ref="C29:D29"/>
    <mergeCell ref="F29:G29"/>
    <mergeCell ref="C30:D30"/>
    <mergeCell ref="F30:G30"/>
    <mergeCell ref="C31:D31"/>
    <mergeCell ref="F31:G31"/>
    <mergeCell ref="C26:D26"/>
    <mergeCell ref="F26:G26"/>
    <mergeCell ref="C27:D27"/>
    <mergeCell ref="F27:G27"/>
    <mergeCell ref="C28:D28"/>
    <mergeCell ref="F28:G28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A2:I3"/>
    <mergeCell ref="A5:I5"/>
    <mergeCell ref="C7:E7"/>
    <mergeCell ref="C9:D9"/>
    <mergeCell ref="F9:G9"/>
    <mergeCell ref="C10:D10"/>
    <mergeCell ref="F10:G10"/>
  </mergeCells>
  <hyperlinks>
    <hyperlink ref="C64" r:id="rId1" display="www.imdacil.de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7">
      <selection activeCell="F33" sqref="F33:G33"/>
    </sheetView>
  </sheetViews>
  <sheetFormatPr defaultColWidth="10.00390625" defaultRowHeight="15.75"/>
  <cols>
    <col min="1" max="1" width="4.125" style="270" customWidth="1"/>
    <col min="2" max="12" width="7.625" style="270" customWidth="1"/>
    <col min="13" max="13" width="4.125" style="270" customWidth="1"/>
    <col min="14" max="18" width="7.625" style="270" customWidth="1"/>
    <col min="19" max="19" width="4.875" style="270" customWidth="1"/>
    <col min="20" max="23" width="5.125" style="270" customWidth="1"/>
    <col min="24" max="26" width="5.875" style="270" customWidth="1"/>
    <col min="27" max="16384" width="10.00390625" style="270" customWidth="1"/>
  </cols>
  <sheetData>
    <row r="1" spans="1:18" s="275" customFormat="1" ht="4.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/>
      <c r="N1" s="274"/>
      <c r="O1" s="274"/>
      <c r="P1" s="274"/>
      <c r="Q1" s="274"/>
      <c r="R1" s="274"/>
    </row>
    <row r="2" spans="1:18" s="275" customFormat="1" ht="18.75">
      <c r="A2" s="276"/>
      <c r="B2" s="528" t="s">
        <v>202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278"/>
      <c r="N2" s="279"/>
      <c r="O2" s="279"/>
      <c r="P2" s="279"/>
      <c r="Q2" s="279"/>
      <c r="R2" s="279"/>
    </row>
    <row r="3" spans="1:18" s="275" customFormat="1" ht="13.5" customHeigh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  <c r="N3" s="279"/>
      <c r="O3" s="279"/>
      <c r="P3" s="279"/>
      <c r="Q3" s="279"/>
      <c r="R3" s="279"/>
    </row>
    <row r="4" spans="1:18" s="286" customFormat="1" ht="16.5" customHeight="1">
      <c r="A4" s="280"/>
      <c r="B4" s="281" t="s">
        <v>5</v>
      </c>
      <c r="C4" s="529" t="str">
        <f>Name</f>
        <v>Thorus</v>
      </c>
      <c r="D4" s="529"/>
      <c r="E4" s="529"/>
      <c r="F4" s="529"/>
      <c r="G4" s="281" t="s">
        <v>10</v>
      </c>
      <c r="H4" s="529" t="str">
        <f>Typus</f>
        <v>RITTER</v>
      </c>
      <c r="I4" s="529"/>
      <c r="J4" s="529"/>
      <c r="K4" s="281" t="s">
        <v>203</v>
      </c>
      <c r="L4" s="282"/>
      <c r="M4" s="283"/>
      <c r="N4" s="284"/>
      <c r="O4" s="285"/>
      <c r="P4" s="285"/>
      <c r="Q4" s="284"/>
      <c r="R4" s="284"/>
    </row>
    <row r="5" spans="1:18" s="286" customFormat="1" ht="12.75">
      <c r="A5" s="280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7"/>
      <c r="N5" s="285"/>
      <c r="O5" s="285"/>
      <c r="P5" s="285"/>
      <c r="Q5" s="285"/>
      <c r="R5" s="285"/>
    </row>
    <row r="6" spans="1:18" s="286" customFormat="1" ht="6" customHeight="1">
      <c r="A6" s="280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3"/>
      <c r="N6" s="284"/>
      <c r="O6" s="284"/>
      <c r="P6" s="284"/>
      <c r="Q6" s="284"/>
      <c r="R6" s="284"/>
    </row>
    <row r="7" spans="1:18" s="275" customFormat="1" ht="15.75">
      <c r="A7" s="276"/>
      <c r="B7" s="530" t="s">
        <v>204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288"/>
      <c r="N7" s="289"/>
      <c r="O7" s="289"/>
      <c r="P7" s="289"/>
      <c r="Q7" s="289"/>
      <c r="R7" s="289"/>
    </row>
    <row r="8" spans="1:18" s="275" customFormat="1" ht="9" customHeight="1">
      <c r="A8" s="276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8"/>
      <c r="N8" s="289"/>
      <c r="O8" s="289"/>
      <c r="P8" s="289"/>
      <c r="Q8" s="289"/>
      <c r="R8" s="289"/>
    </row>
    <row r="9" spans="1:18" s="298" customFormat="1" ht="17.25" customHeight="1">
      <c r="A9" s="290"/>
      <c r="B9" s="291" t="s">
        <v>205</v>
      </c>
      <c r="C9" s="292" t="s">
        <v>206</v>
      </c>
      <c r="D9" s="292" t="s">
        <v>207</v>
      </c>
      <c r="E9" s="293" t="s">
        <v>208</v>
      </c>
      <c r="F9" s="292" t="s">
        <v>48</v>
      </c>
      <c r="G9" s="294" t="s">
        <v>209</v>
      </c>
      <c r="H9" s="292" t="s">
        <v>210</v>
      </c>
      <c r="I9" s="292" t="s">
        <v>4</v>
      </c>
      <c r="J9" s="293" t="s">
        <v>211</v>
      </c>
      <c r="K9" s="293" t="s">
        <v>212</v>
      </c>
      <c r="L9" s="295" t="s">
        <v>213</v>
      </c>
      <c r="M9" s="296"/>
      <c r="N9" s="297"/>
      <c r="O9" s="297"/>
      <c r="P9" s="297"/>
      <c r="Q9" s="297"/>
      <c r="R9" s="297"/>
    </row>
    <row r="10" spans="1:18" s="275" customFormat="1" ht="17.25" customHeight="1">
      <c r="A10" s="276"/>
      <c r="B10" s="299" t="s">
        <v>214</v>
      </c>
      <c r="C10" s="300"/>
      <c r="D10" s="300"/>
      <c r="E10" s="301"/>
      <c r="F10" s="300">
        <v>17</v>
      </c>
      <c r="G10" s="302"/>
      <c r="H10" s="303"/>
      <c r="I10" s="304">
        <f>UrAUSD+UrKK+25+UrRZ1+UrRZ2</f>
        <v>115</v>
      </c>
      <c r="J10" s="305">
        <v>1</v>
      </c>
      <c r="K10" s="306"/>
      <c r="L10" s="307"/>
      <c r="M10" s="288"/>
      <c r="N10" s="289"/>
      <c r="O10" s="289"/>
      <c r="P10" s="289"/>
      <c r="Q10" s="289"/>
      <c r="R10" s="289"/>
    </row>
    <row r="11" spans="1:18" s="275" customFormat="1" ht="17.25" customHeight="1">
      <c r="A11" s="276"/>
      <c r="B11" s="308"/>
      <c r="C11" s="309"/>
      <c r="D11" s="309"/>
      <c r="E11" s="310"/>
      <c r="F11" s="309"/>
      <c r="G11" s="311"/>
      <c r="H11" s="309"/>
      <c r="I11" s="312" t="s">
        <v>14</v>
      </c>
      <c r="J11" s="313" t="s">
        <v>215</v>
      </c>
      <c r="K11" s="314" t="s">
        <v>80</v>
      </c>
      <c r="L11" s="315" t="s">
        <v>82</v>
      </c>
      <c r="M11" s="288"/>
      <c r="N11" s="289"/>
      <c r="O11" s="289"/>
      <c r="P11" s="289"/>
      <c r="Q11" s="289"/>
      <c r="R11" s="289"/>
    </row>
    <row r="12" spans="1:18" s="275" customFormat="1" ht="17.25" customHeight="1">
      <c r="A12" s="276"/>
      <c r="B12" s="530" t="s">
        <v>216</v>
      </c>
      <c r="C12" s="530"/>
      <c r="D12" s="530"/>
      <c r="E12" s="530"/>
      <c r="F12" s="530"/>
      <c r="G12" s="530"/>
      <c r="H12" s="530"/>
      <c r="I12" s="316"/>
      <c r="J12" s="317"/>
      <c r="K12" s="300">
        <v>1</v>
      </c>
      <c r="L12" s="318">
        <v>2</v>
      </c>
      <c r="M12" s="288"/>
      <c r="N12" s="289"/>
      <c r="O12" s="289"/>
      <c r="P12" s="289"/>
      <c r="Q12" s="289"/>
      <c r="R12" s="289"/>
    </row>
    <row r="13" spans="1:18" s="275" customFormat="1" ht="6" customHeight="1">
      <c r="A13" s="276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8"/>
      <c r="N13" s="289"/>
      <c r="O13" s="289"/>
      <c r="P13" s="289"/>
      <c r="Q13" s="289"/>
      <c r="R13" s="289"/>
    </row>
    <row r="14" spans="1:18" s="275" customFormat="1" ht="9" customHeight="1">
      <c r="A14" s="276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8"/>
      <c r="N14" s="289"/>
      <c r="O14" s="289"/>
      <c r="P14" s="289"/>
      <c r="Q14" s="289"/>
      <c r="R14" s="289"/>
    </row>
    <row r="15" spans="1:18" s="275" customFormat="1" ht="12.75" customHeight="1">
      <c r="A15" s="276"/>
      <c r="B15" s="531" t="s">
        <v>217</v>
      </c>
      <c r="C15" s="531"/>
      <c r="D15" s="532" t="s">
        <v>218</v>
      </c>
      <c r="E15" s="532"/>
      <c r="F15" s="532" t="s">
        <v>219</v>
      </c>
      <c r="G15" s="532"/>
      <c r="H15" s="532" t="s">
        <v>220</v>
      </c>
      <c r="I15" s="532"/>
      <c r="J15" s="533" t="s">
        <v>221</v>
      </c>
      <c r="K15" s="533"/>
      <c r="L15" s="533"/>
      <c r="M15" s="288"/>
      <c r="N15" s="289"/>
      <c r="O15" s="289"/>
      <c r="P15" s="289"/>
      <c r="Q15" s="289"/>
      <c r="R15" s="289"/>
    </row>
    <row r="16" spans="1:18" s="275" customFormat="1" ht="12.75">
      <c r="A16" s="276"/>
      <c r="B16" s="531"/>
      <c r="C16" s="531"/>
      <c r="D16" s="532"/>
      <c r="E16" s="532"/>
      <c r="F16" s="532"/>
      <c r="G16" s="532"/>
      <c r="H16" s="532"/>
      <c r="I16" s="532"/>
      <c r="J16" s="533"/>
      <c r="K16" s="533"/>
      <c r="L16" s="533"/>
      <c r="M16" s="288"/>
      <c r="N16" s="289"/>
      <c r="O16" s="289"/>
      <c r="P16" s="289"/>
      <c r="Q16" s="289"/>
      <c r="R16" s="289"/>
    </row>
    <row r="17" spans="1:18" s="275" customFormat="1" ht="12.75">
      <c r="A17" s="276"/>
      <c r="B17" s="534" t="s">
        <v>222</v>
      </c>
      <c r="C17" s="534"/>
      <c r="D17" s="535" t="s">
        <v>222</v>
      </c>
      <c r="E17" s="535"/>
      <c r="F17" s="535" t="s">
        <v>222</v>
      </c>
      <c r="G17" s="535"/>
      <c r="H17" s="535" t="s">
        <v>222</v>
      </c>
      <c r="I17" s="535"/>
      <c r="J17" s="319" t="s">
        <v>83</v>
      </c>
      <c r="K17" s="320"/>
      <c r="L17" s="321" t="s">
        <v>84</v>
      </c>
      <c r="M17" s="288"/>
      <c r="N17" s="289"/>
      <c r="O17" s="289"/>
      <c r="P17" s="289"/>
      <c r="Q17" s="289"/>
      <c r="R17" s="289"/>
    </row>
    <row r="18" spans="1:18" s="275" customFormat="1" ht="12.75">
      <c r="A18" s="276"/>
      <c r="B18" s="536" t="s">
        <v>223</v>
      </c>
      <c r="C18" s="536"/>
      <c r="D18" s="537"/>
      <c r="E18" s="537"/>
      <c r="F18" s="537">
        <v>4</v>
      </c>
      <c r="G18" s="537"/>
      <c r="H18" s="537" t="s">
        <v>222</v>
      </c>
      <c r="I18" s="537"/>
      <c r="J18" s="322">
        <v>1</v>
      </c>
      <c r="K18" s="323"/>
      <c r="L18" s="324"/>
      <c r="M18" s="288"/>
      <c r="N18" s="289"/>
      <c r="O18" s="289"/>
      <c r="P18" s="289"/>
      <c r="Q18" s="289"/>
      <c r="R18" s="289"/>
    </row>
    <row r="19" spans="1:18" s="275" customFormat="1" ht="12.75">
      <c r="A19" s="276"/>
      <c r="B19" s="536" t="s">
        <v>224</v>
      </c>
      <c r="C19" s="536"/>
      <c r="D19" s="537"/>
      <c r="E19" s="537"/>
      <c r="F19" s="537">
        <v>2</v>
      </c>
      <c r="G19" s="537"/>
      <c r="H19" s="537"/>
      <c r="I19" s="537"/>
      <c r="J19" s="322"/>
      <c r="K19" s="323"/>
      <c r="L19" s="324"/>
      <c r="M19" s="288"/>
      <c r="N19" s="289"/>
      <c r="O19" s="289"/>
      <c r="P19" s="289"/>
      <c r="Q19" s="289"/>
      <c r="R19" s="289"/>
    </row>
    <row r="20" spans="1:18" s="275" customFormat="1" ht="12.75">
      <c r="A20" s="276"/>
      <c r="B20" s="536" t="s">
        <v>225</v>
      </c>
      <c r="C20" s="536"/>
      <c r="D20" s="537"/>
      <c r="E20" s="537"/>
      <c r="F20" s="537">
        <v>1</v>
      </c>
      <c r="G20" s="537"/>
      <c r="H20" s="537"/>
      <c r="I20" s="537"/>
      <c r="J20" s="322"/>
      <c r="K20" s="323"/>
      <c r="L20" s="324"/>
      <c r="M20" s="288"/>
      <c r="N20" s="289"/>
      <c r="O20" s="289"/>
      <c r="P20" s="289"/>
      <c r="Q20" s="289"/>
      <c r="R20" s="289"/>
    </row>
    <row r="21" spans="1:18" s="275" customFormat="1" ht="12.75">
      <c r="A21" s="276"/>
      <c r="B21" s="536" t="s">
        <v>226</v>
      </c>
      <c r="C21" s="536"/>
      <c r="D21" s="537"/>
      <c r="E21" s="537"/>
      <c r="F21" s="537">
        <v>1</v>
      </c>
      <c r="G21" s="537"/>
      <c r="H21" s="537"/>
      <c r="I21" s="537"/>
      <c r="J21" s="322"/>
      <c r="K21" s="323"/>
      <c r="L21" s="324"/>
      <c r="M21" s="288"/>
      <c r="N21" s="289"/>
      <c r="O21" s="289"/>
      <c r="P21" s="289"/>
      <c r="Q21" s="289"/>
      <c r="R21" s="289"/>
    </row>
    <row r="22" spans="1:18" s="275" customFormat="1" ht="12.75">
      <c r="A22" s="276"/>
      <c r="B22" s="536" t="s">
        <v>227</v>
      </c>
      <c r="C22" s="536"/>
      <c r="D22" s="537"/>
      <c r="E22" s="537"/>
      <c r="F22" s="537">
        <v>6</v>
      </c>
      <c r="G22" s="537"/>
      <c r="H22" s="537"/>
      <c r="I22" s="537"/>
      <c r="J22" s="322"/>
      <c r="K22" s="323"/>
      <c r="L22" s="324">
        <v>1</v>
      </c>
      <c r="M22" s="288"/>
      <c r="N22" s="289"/>
      <c r="O22" s="289"/>
      <c r="P22" s="289"/>
      <c r="Q22" s="289"/>
      <c r="R22" s="289"/>
    </row>
    <row r="23" spans="1:18" s="275" customFormat="1" ht="12.75">
      <c r="A23" s="276"/>
      <c r="B23" s="536" t="s">
        <v>289</v>
      </c>
      <c r="C23" s="536"/>
      <c r="D23" s="537"/>
      <c r="E23" s="537"/>
      <c r="F23" s="537">
        <v>2</v>
      </c>
      <c r="G23" s="537"/>
      <c r="H23" s="537"/>
      <c r="I23" s="537"/>
      <c r="J23" s="322"/>
      <c r="K23" s="323"/>
      <c r="L23" s="324"/>
      <c r="M23" s="288"/>
      <c r="N23" s="289"/>
      <c r="O23" s="289"/>
      <c r="P23" s="289"/>
      <c r="Q23" s="289"/>
      <c r="R23" s="289"/>
    </row>
    <row r="24" spans="1:18" s="275" customFormat="1" ht="12.75">
      <c r="A24" s="276"/>
      <c r="B24" s="536" t="s">
        <v>290</v>
      </c>
      <c r="C24" s="536"/>
      <c r="D24" s="537"/>
      <c r="E24" s="537"/>
      <c r="F24" s="537">
        <v>6</v>
      </c>
      <c r="G24" s="537"/>
      <c r="H24" s="537"/>
      <c r="I24" s="537"/>
      <c r="J24" s="322"/>
      <c r="K24" s="323"/>
      <c r="L24" s="324"/>
      <c r="M24" s="288"/>
      <c r="N24" s="289"/>
      <c r="O24" s="289"/>
      <c r="P24" s="289"/>
      <c r="Q24" s="289"/>
      <c r="R24" s="289"/>
    </row>
    <row r="25" spans="1:18" s="275" customFormat="1" ht="12.75">
      <c r="A25" s="276"/>
      <c r="B25" s="536" t="s">
        <v>291</v>
      </c>
      <c r="C25" s="536"/>
      <c r="D25" s="537"/>
      <c r="E25" s="537"/>
      <c r="F25" s="537">
        <v>1</v>
      </c>
      <c r="G25" s="537"/>
      <c r="H25" s="537"/>
      <c r="I25" s="537"/>
      <c r="J25" s="322"/>
      <c r="K25" s="323"/>
      <c r="L25" s="324"/>
      <c r="M25" s="288"/>
      <c r="N25" s="289"/>
      <c r="O25" s="289"/>
      <c r="P25" s="289"/>
      <c r="Q25" s="289"/>
      <c r="R25" s="289"/>
    </row>
    <row r="26" spans="1:18" s="275" customFormat="1" ht="12.75">
      <c r="A26" s="276"/>
      <c r="B26" s="536" t="s">
        <v>293</v>
      </c>
      <c r="C26" s="536"/>
      <c r="D26" s="537"/>
      <c r="E26" s="537"/>
      <c r="F26" s="537">
        <v>4</v>
      </c>
      <c r="G26" s="537"/>
      <c r="H26" s="537"/>
      <c r="I26" s="537"/>
      <c r="J26" s="322">
        <v>1</v>
      </c>
      <c r="K26" s="323"/>
      <c r="L26" s="324"/>
      <c r="M26" s="288"/>
      <c r="N26" s="289"/>
      <c r="O26" s="289"/>
      <c r="P26" s="289"/>
      <c r="Q26" s="289"/>
      <c r="R26" s="289"/>
    </row>
    <row r="27" spans="1:18" s="275" customFormat="1" ht="12.75">
      <c r="A27" s="276"/>
      <c r="B27" s="536" t="s">
        <v>292</v>
      </c>
      <c r="C27" s="536"/>
      <c r="D27" s="537"/>
      <c r="E27" s="537"/>
      <c r="F27" s="537">
        <v>2</v>
      </c>
      <c r="G27" s="537"/>
      <c r="H27" s="537"/>
      <c r="I27" s="537"/>
      <c r="J27" s="322"/>
      <c r="K27" s="323"/>
      <c r="L27" s="324"/>
      <c r="M27" s="288"/>
      <c r="N27" s="289"/>
      <c r="O27" s="289"/>
      <c r="P27" s="289"/>
      <c r="Q27" s="289"/>
      <c r="R27" s="289"/>
    </row>
    <row r="28" spans="1:18" s="275" customFormat="1" ht="12.75">
      <c r="A28" s="276"/>
      <c r="B28" s="536" t="s">
        <v>297</v>
      </c>
      <c r="C28" s="536"/>
      <c r="D28" s="537"/>
      <c r="E28" s="537"/>
      <c r="F28" s="537">
        <v>2</v>
      </c>
      <c r="G28" s="537"/>
      <c r="H28" s="537"/>
      <c r="I28" s="537"/>
      <c r="J28" s="322"/>
      <c r="K28" s="323"/>
      <c r="L28" s="324"/>
      <c r="M28" s="288"/>
      <c r="N28" s="289"/>
      <c r="O28" s="289"/>
      <c r="P28" s="289"/>
      <c r="Q28" s="289"/>
      <c r="R28" s="289"/>
    </row>
    <row r="29" spans="1:18" s="275" customFormat="1" ht="12.75">
      <c r="A29" s="276"/>
      <c r="B29" s="536" t="s">
        <v>298</v>
      </c>
      <c r="C29" s="536"/>
      <c r="D29" s="537"/>
      <c r="E29" s="537"/>
      <c r="F29" s="537">
        <v>4</v>
      </c>
      <c r="G29" s="537"/>
      <c r="H29" s="537"/>
      <c r="I29" s="537"/>
      <c r="J29" s="322"/>
      <c r="K29" s="323"/>
      <c r="L29" s="324"/>
      <c r="M29" s="288"/>
      <c r="N29" s="289"/>
      <c r="O29" s="289"/>
      <c r="P29" s="289"/>
      <c r="Q29" s="289"/>
      <c r="R29" s="289"/>
    </row>
    <row r="30" spans="1:18" s="275" customFormat="1" ht="12.75">
      <c r="A30" s="276"/>
      <c r="B30" s="536" t="s">
        <v>299</v>
      </c>
      <c r="C30" s="536"/>
      <c r="D30" s="537"/>
      <c r="E30" s="537"/>
      <c r="F30" s="537">
        <v>1</v>
      </c>
      <c r="G30" s="537"/>
      <c r="H30" s="537"/>
      <c r="I30" s="537"/>
      <c r="J30" s="322"/>
      <c r="K30" s="323"/>
      <c r="L30" s="324"/>
      <c r="M30" s="288"/>
      <c r="N30" s="289"/>
      <c r="O30" s="289"/>
      <c r="P30" s="289"/>
      <c r="Q30" s="289"/>
      <c r="R30" s="289"/>
    </row>
    <row r="31" spans="1:18" s="275" customFormat="1" ht="12.75">
      <c r="A31" s="276"/>
      <c r="B31" s="536" t="s">
        <v>300</v>
      </c>
      <c r="C31" s="536"/>
      <c r="D31" s="537"/>
      <c r="E31" s="537"/>
      <c r="F31" s="537">
        <v>4</v>
      </c>
      <c r="G31" s="537"/>
      <c r="H31" s="537"/>
      <c r="I31" s="537"/>
      <c r="J31" s="322">
        <v>1</v>
      </c>
      <c r="K31" s="323"/>
      <c r="L31" s="324"/>
      <c r="M31" s="288"/>
      <c r="N31" s="289"/>
      <c r="O31" s="289"/>
      <c r="P31" s="289"/>
      <c r="Q31" s="289"/>
      <c r="R31" s="289"/>
    </row>
    <row r="32" spans="1:18" s="275" customFormat="1" ht="12.75">
      <c r="A32" s="276"/>
      <c r="B32" s="536" t="s">
        <v>301</v>
      </c>
      <c r="C32" s="536"/>
      <c r="D32" s="537"/>
      <c r="E32" s="537"/>
      <c r="F32" s="537">
        <v>3</v>
      </c>
      <c r="G32" s="537"/>
      <c r="H32" s="537"/>
      <c r="I32" s="537"/>
      <c r="J32" s="322"/>
      <c r="K32" s="323"/>
      <c r="L32" s="324"/>
      <c r="M32" s="288"/>
      <c r="N32" s="289"/>
      <c r="O32" s="289"/>
      <c r="P32" s="289"/>
      <c r="Q32" s="289"/>
      <c r="R32" s="289"/>
    </row>
    <row r="33" spans="1:18" s="275" customFormat="1" ht="12.75">
      <c r="A33" s="276"/>
      <c r="B33" s="536"/>
      <c r="C33" s="536"/>
      <c r="D33" s="537"/>
      <c r="E33" s="537"/>
      <c r="F33" s="537"/>
      <c r="G33" s="537"/>
      <c r="H33" s="537"/>
      <c r="I33" s="537"/>
      <c r="J33" s="322"/>
      <c r="K33" s="323"/>
      <c r="L33" s="324"/>
      <c r="M33" s="288"/>
      <c r="N33" s="289"/>
      <c r="O33" s="289"/>
      <c r="P33" s="289"/>
      <c r="Q33" s="289"/>
      <c r="R33" s="289"/>
    </row>
    <row r="34" spans="1:18" s="275" customFormat="1" ht="12.75" customHeight="1">
      <c r="A34" s="276"/>
      <c r="B34" s="536"/>
      <c r="C34" s="536"/>
      <c r="D34" s="537"/>
      <c r="E34" s="537"/>
      <c r="F34" s="537"/>
      <c r="G34" s="537"/>
      <c r="H34" s="537"/>
      <c r="I34" s="537"/>
      <c r="J34" s="322"/>
      <c r="K34" s="323"/>
      <c r="L34" s="324"/>
      <c r="M34" s="288"/>
      <c r="N34" s="289"/>
      <c r="O34" s="289"/>
      <c r="P34" s="289"/>
      <c r="Q34" s="289"/>
      <c r="R34" s="289"/>
    </row>
    <row r="35" spans="1:18" s="275" customFormat="1" ht="12.75">
      <c r="A35" s="276"/>
      <c r="B35" s="536"/>
      <c r="C35" s="536"/>
      <c r="D35" s="537"/>
      <c r="E35" s="537"/>
      <c r="F35" s="537"/>
      <c r="G35" s="537"/>
      <c r="H35" s="537"/>
      <c r="I35" s="537"/>
      <c r="J35" s="322"/>
      <c r="K35" s="323"/>
      <c r="L35" s="324"/>
      <c r="M35" s="288"/>
      <c r="N35" s="289"/>
      <c r="O35" s="289"/>
      <c r="P35" s="289"/>
      <c r="Q35" s="289"/>
      <c r="R35" s="289"/>
    </row>
    <row r="36" spans="1:18" s="275" customFormat="1" ht="12.75">
      <c r="A36" s="276"/>
      <c r="B36" s="536"/>
      <c r="C36" s="536"/>
      <c r="D36" s="537"/>
      <c r="E36" s="537"/>
      <c r="F36" s="537"/>
      <c r="G36" s="537"/>
      <c r="H36" s="537"/>
      <c r="I36" s="537"/>
      <c r="J36" s="322"/>
      <c r="K36" s="323"/>
      <c r="L36" s="324"/>
      <c r="M36" s="288"/>
      <c r="N36" s="289"/>
      <c r="O36" s="289"/>
      <c r="P36" s="289"/>
      <c r="Q36" s="289"/>
      <c r="R36" s="289"/>
    </row>
    <row r="37" spans="1:18" s="275" customFormat="1" ht="12.75">
      <c r="A37" s="276"/>
      <c r="B37" s="536"/>
      <c r="C37" s="536"/>
      <c r="D37" s="537"/>
      <c r="E37" s="537"/>
      <c r="F37" s="537"/>
      <c r="G37" s="537"/>
      <c r="H37" s="537"/>
      <c r="I37" s="537"/>
      <c r="J37" s="322"/>
      <c r="K37" s="323"/>
      <c r="L37" s="324"/>
      <c r="M37" s="288"/>
      <c r="N37" s="289"/>
      <c r="O37" s="289"/>
      <c r="P37" s="289"/>
      <c r="Q37" s="289"/>
      <c r="R37" s="289"/>
    </row>
    <row r="38" spans="1:18" s="275" customFormat="1" ht="12.75">
      <c r="A38" s="276"/>
      <c r="B38" s="536"/>
      <c r="C38" s="536"/>
      <c r="D38" s="537"/>
      <c r="E38" s="537"/>
      <c r="F38" s="537"/>
      <c r="G38" s="537"/>
      <c r="H38" s="537"/>
      <c r="I38" s="537"/>
      <c r="J38" s="322"/>
      <c r="K38" s="323"/>
      <c r="L38" s="324"/>
      <c r="M38" s="288"/>
      <c r="N38" s="289"/>
      <c r="O38" s="289"/>
      <c r="P38" s="289"/>
      <c r="Q38" s="289"/>
      <c r="R38" s="289"/>
    </row>
    <row r="39" spans="1:18" s="275" customFormat="1" ht="12.75">
      <c r="A39" s="276"/>
      <c r="B39" s="536"/>
      <c r="C39" s="536"/>
      <c r="D39" s="537"/>
      <c r="E39" s="537"/>
      <c r="F39" s="537"/>
      <c r="G39" s="537"/>
      <c r="H39" s="537"/>
      <c r="I39" s="537"/>
      <c r="J39" s="322"/>
      <c r="K39" s="323"/>
      <c r="L39" s="324"/>
      <c r="M39" s="288"/>
      <c r="N39" s="289"/>
      <c r="O39" s="289"/>
      <c r="P39" s="289"/>
      <c r="Q39" s="289"/>
      <c r="R39" s="289"/>
    </row>
    <row r="40" spans="1:18" s="275" customFormat="1" ht="12.75">
      <c r="A40" s="276"/>
      <c r="B40" s="536"/>
      <c r="C40" s="536"/>
      <c r="D40" s="537"/>
      <c r="E40" s="537"/>
      <c r="F40" s="537"/>
      <c r="G40" s="537"/>
      <c r="H40" s="537"/>
      <c r="I40" s="537"/>
      <c r="J40" s="322"/>
      <c r="K40" s="323"/>
      <c r="L40" s="324"/>
      <c r="M40" s="288"/>
      <c r="N40" s="289"/>
      <c r="O40" s="289"/>
      <c r="P40" s="289"/>
      <c r="Q40" s="289"/>
      <c r="R40" s="289"/>
    </row>
    <row r="41" spans="1:18" s="275" customFormat="1" ht="12.75">
      <c r="A41" s="276"/>
      <c r="B41" s="536"/>
      <c r="C41" s="536"/>
      <c r="D41" s="537"/>
      <c r="E41" s="537"/>
      <c r="F41" s="537"/>
      <c r="G41" s="537"/>
      <c r="H41" s="537"/>
      <c r="I41" s="537"/>
      <c r="J41" s="322"/>
      <c r="K41" s="323"/>
      <c r="L41" s="324"/>
      <c r="M41" s="288"/>
      <c r="N41" s="289"/>
      <c r="O41" s="289"/>
      <c r="P41" s="289"/>
      <c r="Q41" s="289"/>
      <c r="R41" s="289"/>
    </row>
    <row r="42" spans="1:18" s="275" customFormat="1" ht="12.75">
      <c r="A42" s="276"/>
      <c r="B42" s="536"/>
      <c r="C42" s="536"/>
      <c r="D42" s="537"/>
      <c r="E42" s="537"/>
      <c r="F42" s="537"/>
      <c r="G42" s="537"/>
      <c r="H42" s="537"/>
      <c r="I42" s="537"/>
      <c r="J42" s="322"/>
      <c r="K42" s="323"/>
      <c r="L42" s="324"/>
      <c r="M42" s="288"/>
      <c r="N42" s="289"/>
      <c r="O42" s="289"/>
      <c r="P42" s="289"/>
      <c r="Q42" s="289"/>
      <c r="R42" s="289"/>
    </row>
    <row r="43" spans="1:18" s="275" customFormat="1" ht="12.75">
      <c r="A43" s="276"/>
      <c r="B43" s="536"/>
      <c r="C43" s="536"/>
      <c r="D43" s="537"/>
      <c r="E43" s="537"/>
      <c r="F43" s="537"/>
      <c r="G43" s="537"/>
      <c r="H43" s="537"/>
      <c r="I43" s="537"/>
      <c r="J43" s="322"/>
      <c r="K43" s="323"/>
      <c r="L43" s="324"/>
      <c r="M43" s="288"/>
      <c r="N43" s="289"/>
      <c r="O43" s="289"/>
      <c r="P43" s="289"/>
      <c r="Q43" s="289"/>
      <c r="R43" s="289"/>
    </row>
    <row r="44" spans="1:18" s="275" customFormat="1" ht="12.75">
      <c r="A44" s="276"/>
      <c r="B44" s="536"/>
      <c r="C44" s="536"/>
      <c r="D44" s="537"/>
      <c r="E44" s="537"/>
      <c r="F44" s="537"/>
      <c r="G44" s="537"/>
      <c r="H44" s="537"/>
      <c r="I44" s="537"/>
      <c r="J44" s="322"/>
      <c r="K44" s="323"/>
      <c r="L44" s="324"/>
      <c r="M44" s="288"/>
      <c r="N44" s="289"/>
      <c r="O44" s="289"/>
      <c r="P44" s="289"/>
      <c r="Q44" s="289"/>
      <c r="R44" s="289"/>
    </row>
    <row r="45" spans="1:18" s="275" customFormat="1" ht="12.75">
      <c r="A45" s="276"/>
      <c r="B45" s="536"/>
      <c r="C45" s="536"/>
      <c r="D45" s="537"/>
      <c r="E45" s="537"/>
      <c r="F45" s="537"/>
      <c r="G45" s="537"/>
      <c r="H45" s="537"/>
      <c r="I45" s="537"/>
      <c r="J45" s="322"/>
      <c r="K45" s="323"/>
      <c r="L45" s="324"/>
      <c r="M45" s="288"/>
      <c r="N45" s="289"/>
      <c r="O45" s="289"/>
      <c r="P45" s="289"/>
      <c r="Q45" s="289"/>
      <c r="R45" s="289"/>
    </row>
    <row r="46" spans="1:18" s="275" customFormat="1" ht="12.75">
      <c r="A46" s="276"/>
      <c r="B46" s="536"/>
      <c r="C46" s="536"/>
      <c r="D46" s="537"/>
      <c r="E46" s="537"/>
      <c r="F46" s="537"/>
      <c r="G46" s="537"/>
      <c r="H46" s="537"/>
      <c r="I46" s="537"/>
      <c r="J46" s="322"/>
      <c r="K46" s="323"/>
      <c r="L46" s="324"/>
      <c r="M46" s="288"/>
      <c r="N46" s="289"/>
      <c r="O46" s="289"/>
      <c r="P46" s="289"/>
      <c r="Q46" s="289"/>
      <c r="R46" s="289"/>
    </row>
    <row r="47" spans="1:18" s="275" customFormat="1" ht="12.75">
      <c r="A47" s="276"/>
      <c r="B47" s="536"/>
      <c r="C47" s="536"/>
      <c r="D47" s="537"/>
      <c r="E47" s="537"/>
      <c r="F47" s="537"/>
      <c r="G47" s="537"/>
      <c r="H47" s="537"/>
      <c r="I47" s="537"/>
      <c r="J47" s="322"/>
      <c r="K47" s="323"/>
      <c r="L47" s="324"/>
      <c r="M47" s="288"/>
      <c r="N47" s="289"/>
      <c r="O47" s="289"/>
      <c r="P47" s="289"/>
      <c r="Q47" s="289"/>
      <c r="R47" s="289"/>
    </row>
    <row r="48" spans="1:18" s="275" customFormat="1" ht="12.75">
      <c r="A48" s="276"/>
      <c r="B48" s="536"/>
      <c r="C48" s="536"/>
      <c r="D48" s="537"/>
      <c r="E48" s="537"/>
      <c r="F48" s="537"/>
      <c r="G48" s="537"/>
      <c r="H48" s="537"/>
      <c r="I48" s="537"/>
      <c r="J48" s="322"/>
      <c r="K48" s="323"/>
      <c r="L48" s="324"/>
      <c r="M48" s="288"/>
      <c r="N48" s="289"/>
      <c r="O48" s="289"/>
      <c r="P48" s="289"/>
      <c r="Q48" s="289"/>
      <c r="R48" s="289"/>
    </row>
    <row r="49" spans="1:18" s="275" customFormat="1" ht="12.75">
      <c r="A49" s="276"/>
      <c r="B49" s="536"/>
      <c r="C49" s="536"/>
      <c r="D49" s="537"/>
      <c r="E49" s="537"/>
      <c r="F49" s="537"/>
      <c r="G49" s="537"/>
      <c r="H49" s="537"/>
      <c r="I49" s="537"/>
      <c r="J49" s="322"/>
      <c r="K49" s="323"/>
      <c r="L49" s="324"/>
      <c r="M49" s="288"/>
      <c r="N49" s="289"/>
      <c r="O49" s="289"/>
      <c r="P49" s="289"/>
      <c r="Q49" s="289"/>
      <c r="R49" s="289"/>
    </row>
    <row r="50" spans="1:18" s="275" customFormat="1" ht="12.75">
      <c r="A50" s="276"/>
      <c r="B50" s="536"/>
      <c r="C50" s="536"/>
      <c r="D50" s="537"/>
      <c r="E50" s="537"/>
      <c r="F50" s="537"/>
      <c r="G50" s="537"/>
      <c r="H50" s="537"/>
      <c r="I50" s="537"/>
      <c r="J50" s="322"/>
      <c r="K50" s="323"/>
      <c r="L50" s="324"/>
      <c r="M50" s="288"/>
      <c r="N50" s="289"/>
      <c r="O50" s="289"/>
      <c r="P50" s="289"/>
      <c r="Q50" s="289"/>
      <c r="R50" s="289"/>
    </row>
    <row r="51" spans="1:18" s="275" customFormat="1" ht="12.75">
      <c r="A51" s="276"/>
      <c r="B51" s="536"/>
      <c r="C51" s="536"/>
      <c r="D51" s="537"/>
      <c r="E51" s="537"/>
      <c r="F51" s="537"/>
      <c r="G51" s="537"/>
      <c r="H51" s="537"/>
      <c r="I51" s="537"/>
      <c r="J51" s="322"/>
      <c r="K51" s="323"/>
      <c r="L51" s="324"/>
      <c r="M51" s="288"/>
      <c r="N51" s="289"/>
      <c r="O51" s="289"/>
      <c r="P51" s="289"/>
      <c r="Q51" s="289"/>
      <c r="R51" s="289"/>
    </row>
    <row r="52" spans="1:18" s="275" customFormat="1" ht="12.75">
      <c r="A52" s="276"/>
      <c r="B52" s="536"/>
      <c r="C52" s="536"/>
      <c r="D52" s="537"/>
      <c r="E52" s="537"/>
      <c r="F52" s="537"/>
      <c r="G52" s="537"/>
      <c r="H52" s="537"/>
      <c r="I52" s="537"/>
      <c r="J52" s="322"/>
      <c r="K52" s="323"/>
      <c r="L52" s="324"/>
      <c r="M52" s="325"/>
      <c r="N52" s="326"/>
      <c r="O52" s="326"/>
      <c r="P52" s="326"/>
      <c r="Q52" s="326"/>
      <c r="R52" s="326"/>
    </row>
    <row r="53" spans="1:18" s="275" customFormat="1" ht="12.75">
      <c r="A53" s="276"/>
      <c r="B53" s="536"/>
      <c r="C53" s="536"/>
      <c r="D53" s="537"/>
      <c r="E53" s="537"/>
      <c r="F53" s="537"/>
      <c r="G53" s="537"/>
      <c r="H53" s="537"/>
      <c r="I53" s="537"/>
      <c r="J53" s="322"/>
      <c r="K53" s="323"/>
      <c r="L53" s="324"/>
      <c r="M53" s="327"/>
      <c r="N53" s="328"/>
      <c r="O53" s="328"/>
      <c r="P53" s="328"/>
      <c r="Q53" s="328"/>
      <c r="R53" s="328"/>
    </row>
    <row r="54" spans="1:18" s="275" customFormat="1" ht="12.75">
      <c r="A54" s="276"/>
      <c r="B54" s="536"/>
      <c r="C54" s="536"/>
      <c r="D54" s="537"/>
      <c r="E54" s="537"/>
      <c r="F54" s="537"/>
      <c r="G54" s="537"/>
      <c r="H54" s="537"/>
      <c r="I54" s="537"/>
      <c r="J54" s="322"/>
      <c r="K54" s="323"/>
      <c r="L54" s="324"/>
      <c r="M54" s="329"/>
      <c r="N54" s="330"/>
      <c r="O54" s="330"/>
      <c r="P54" s="330"/>
      <c r="Q54" s="330"/>
      <c r="R54" s="330"/>
    </row>
    <row r="55" spans="1:18" s="275" customFormat="1" ht="12.75">
      <c r="A55" s="276"/>
      <c r="B55" s="536"/>
      <c r="C55" s="536"/>
      <c r="D55" s="537"/>
      <c r="E55" s="537"/>
      <c r="F55" s="537"/>
      <c r="G55" s="537"/>
      <c r="H55" s="537"/>
      <c r="I55" s="537"/>
      <c r="J55" s="322"/>
      <c r="K55" s="323"/>
      <c r="L55" s="324"/>
      <c r="M55" s="329"/>
      <c r="N55" s="330"/>
      <c r="O55" s="330"/>
      <c r="P55" s="330"/>
      <c r="Q55" s="330"/>
      <c r="R55" s="330"/>
    </row>
    <row r="56" spans="1:18" s="275" customFormat="1" ht="12.75">
      <c r="A56" s="276"/>
      <c r="B56" s="536"/>
      <c r="C56" s="536"/>
      <c r="D56" s="537"/>
      <c r="E56" s="537"/>
      <c r="F56" s="537"/>
      <c r="G56" s="537"/>
      <c r="H56" s="537"/>
      <c r="I56" s="537"/>
      <c r="J56" s="322"/>
      <c r="K56" s="323"/>
      <c r="L56" s="324"/>
      <c r="M56" s="329"/>
      <c r="N56" s="330"/>
      <c r="O56" s="330"/>
      <c r="P56" s="330"/>
      <c r="Q56" s="330"/>
      <c r="R56" s="330"/>
    </row>
    <row r="57" spans="1:18" s="275" customFormat="1" ht="12.75">
      <c r="A57" s="276"/>
      <c r="B57" s="536"/>
      <c r="C57" s="536"/>
      <c r="D57" s="537"/>
      <c r="E57" s="537"/>
      <c r="F57" s="537"/>
      <c r="G57" s="537"/>
      <c r="H57" s="537"/>
      <c r="I57" s="537"/>
      <c r="J57" s="322"/>
      <c r="K57" s="323"/>
      <c r="L57" s="324"/>
      <c r="M57" s="329"/>
      <c r="N57" s="330"/>
      <c r="O57" s="330"/>
      <c r="P57" s="330"/>
      <c r="Q57" s="330"/>
      <c r="R57" s="330"/>
    </row>
    <row r="58" spans="1:18" s="275" customFormat="1" ht="12.75">
      <c r="A58" s="276"/>
      <c r="B58" s="536"/>
      <c r="C58" s="536"/>
      <c r="D58" s="537"/>
      <c r="E58" s="537"/>
      <c r="F58" s="537"/>
      <c r="G58" s="537"/>
      <c r="H58" s="537"/>
      <c r="I58" s="537"/>
      <c r="J58" s="322"/>
      <c r="K58" s="323"/>
      <c r="L58" s="324"/>
      <c r="M58" s="329"/>
      <c r="N58" s="330"/>
      <c r="O58" s="330"/>
      <c r="P58" s="330"/>
      <c r="Q58" s="330"/>
      <c r="R58" s="330"/>
    </row>
    <row r="59" spans="1:18" s="275" customFormat="1" ht="12.75">
      <c r="A59" s="276"/>
      <c r="B59" s="536"/>
      <c r="C59" s="536"/>
      <c r="D59" s="537"/>
      <c r="E59" s="537"/>
      <c r="F59" s="537"/>
      <c r="G59" s="537"/>
      <c r="H59" s="537"/>
      <c r="I59" s="537"/>
      <c r="J59" s="322"/>
      <c r="K59" s="323"/>
      <c r="L59" s="324"/>
      <c r="M59" s="329"/>
      <c r="N59" s="330"/>
      <c r="O59" s="330"/>
      <c r="P59" s="330"/>
      <c r="Q59" s="330"/>
      <c r="R59" s="330"/>
    </row>
    <row r="60" spans="1:18" s="275" customFormat="1" ht="12.75">
      <c r="A60" s="276"/>
      <c r="B60" s="540"/>
      <c r="C60" s="540"/>
      <c r="D60" s="538"/>
      <c r="E60" s="538"/>
      <c r="F60" s="538"/>
      <c r="G60" s="538"/>
      <c r="H60" s="538"/>
      <c r="I60" s="538"/>
      <c r="J60" s="331"/>
      <c r="K60" s="332"/>
      <c r="L60" s="333"/>
      <c r="M60" s="329"/>
      <c r="N60" s="330"/>
      <c r="O60" s="330"/>
      <c r="P60" s="330"/>
      <c r="Q60" s="330"/>
      <c r="R60" s="330"/>
    </row>
    <row r="61" spans="1:18" s="275" customFormat="1" ht="12.75">
      <c r="A61" s="276"/>
      <c r="B61" s="289"/>
      <c r="C61" s="289"/>
      <c r="D61" s="289"/>
      <c r="E61" s="289"/>
      <c r="F61" s="539">
        <f>SUM(F18:G60)+(AUSD-UrAUSD)+(KK-UrKK)</f>
        <v>49</v>
      </c>
      <c r="G61" s="539"/>
      <c r="H61" s="539">
        <f>SUM(H18:I60)</f>
        <v>0</v>
      </c>
      <c r="I61" s="539"/>
      <c r="J61" s="285">
        <f>SUM(J18:J60)</f>
        <v>3</v>
      </c>
      <c r="K61" s="285"/>
      <c r="L61" s="285">
        <f>SUM(L18:L60)</f>
        <v>1</v>
      </c>
      <c r="M61" s="288"/>
      <c r="N61" s="289"/>
      <c r="O61" s="289"/>
      <c r="P61" s="289"/>
      <c r="Q61" s="289"/>
      <c r="R61" s="289"/>
    </row>
    <row r="62" spans="1:18" ht="12.75">
      <c r="A62" s="334"/>
      <c r="B62" s="525" t="s">
        <v>112</v>
      </c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335"/>
      <c r="N62" s="336"/>
      <c r="O62" s="336"/>
      <c r="P62" s="336"/>
      <c r="Q62" s="336"/>
      <c r="R62" s="336"/>
    </row>
    <row r="63" spans="1:18" ht="12.75">
      <c r="A63" s="337"/>
      <c r="B63" s="338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40"/>
      <c r="N63" s="336"/>
      <c r="O63" s="336"/>
      <c r="P63" s="336"/>
      <c r="Q63" s="336"/>
      <c r="R63" s="336"/>
    </row>
  </sheetData>
  <sheetProtection selectLockedCells="1" selectUnlockedCells="1"/>
  <mergeCells count="189">
    <mergeCell ref="F61:G61"/>
    <mergeCell ref="H61:I61"/>
    <mergeCell ref="B62:L62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:L2"/>
    <mergeCell ref="C4:F4"/>
    <mergeCell ref="H4:J4"/>
    <mergeCell ref="B7:L7"/>
    <mergeCell ref="B12:H12"/>
    <mergeCell ref="B15:C16"/>
    <mergeCell ref="D15:E16"/>
    <mergeCell ref="F15:G16"/>
    <mergeCell ref="H15:I16"/>
    <mergeCell ref="J15:L16"/>
  </mergeCells>
  <hyperlinks>
    <hyperlink ref="B62" r:id="rId1" display="www.imdacil.de"/>
  </hyperlinks>
  <printOptions horizontalCentered="1"/>
  <pageMargins left="0.27569444444444446" right="0.27569444444444446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S5" sqref="S5"/>
    </sheetView>
  </sheetViews>
  <sheetFormatPr defaultColWidth="10.00390625" defaultRowHeight="15.75"/>
  <cols>
    <col min="1" max="1" width="2.625" style="341" customWidth="1"/>
    <col min="2" max="2" width="10.00390625" style="341" customWidth="1"/>
    <col min="3" max="3" width="4.125" style="341" customWidth="1"/>
    <col min="4" max="4" width="3.625" style="341" customWidth="1"/>
    <col min="5" max="5" width="2.00390625" style="341" customWidth="1"/>
    <col min="6" max="6" width="4.00390625" style="341" customWidth="1"/>
    <col min="7" max="7" width="4.25390625" style="341" customWidth="1"/>
    <col min="8" max="8" width="2.875" style="341" customWidth="1"/>
    <col min="9" max="9" width="4.125" style="341" customWidth="1"/>
    <col min="10" max="10" width="9.625" style="341" customWidth="1"/>
    <col min="11" max="13" width="3.625" style="341" customWidth="1"/>
    <col min="14" max="14" width="2.00390625" style="341" customWidth="1"/>
    <col min="15" max="15" width="4.00390625" style="341" customWidth="1"/>
    <col min="16" max="16" width="4.25390625" style="341" customWidth="1"/>
    <col min="17" max="17" width="2.875" style="341" customWidth="1"/>
    <col min="18" max="18" width="4.125" style="341" customWidth="1"/>
    <col min="19" max="20" width="2.625" style="341" customWidth="1"/>
    <col min="21" max="16384" width="10.00390625" style="341" customWidth="1"/>
  </cols>
  <sheetData>
    <row r="1" spans="1:20" ht="12.75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4"/>
    </row>
    <row r="2" spans="1:20" ht="12.75" customHeight="1">
      <c r="A2" s="345"/>
      <c r="B2" s="541" t="s">
        <v>228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346"/>
      <c r="S2" s="346"/>
      <c r="T2" s="347"/>
    </row>
    <row r="3" spans="1:20" ht="12.75">
      <c r="A3" s="345"/>
      <c r="B3" s="348" t="s">
        <v>23</v>
      </c>
      <c r="C3" s="349"/>
      <c r="D3" s="542" t="s">
        <v>229</v>
      </c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346"/>
      <c r="S3" s="346"/>
      <c r="T3" s="347"/>
    </row>
    <row r="4" spans="1:20" ht="12.75">
      <c r="A4" s="345"/>
      <c r="B4" s="350" t="s">
        <v>21</v>
      </c>
      <c r="C4" s="351"/>
      <c r="D4" s="543" t="s">
        <v>230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346"/>
      <c r="S4" s="346"/>
      <c r="T4" s="347"/>
    </row>
    <row r="5" spans="1:20" ht="12.75">
      <c r="A5" s="345"/>
      <c r="B5" s="350" t="s">
        <v>26</v>
      </c>
      <c r="C5" s="351"/>
      <c r="D5" s="543" t="s">
        <v>231</v>
      </c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346"/>
      <c r="S5" s="346"/>
      <c r="T5" s="347"/>
    </row>
    <row r="6" spans="1:20" ht="12.75">
      <c r="A6" s="345"/>
      <c r="B6" s="350" t="s">
        <v>19</v>
      </c>
      <c r="C6" s="351"/>
      <c r="D6" s="543" t="s">
        <v>232</v>
      </c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346"/>
      <c r="S6" s="346"/>
      <c r="T6" s="347"/>
    </row>
    <row r="7" spans="1:20" ht="12.75">
      <c r="A7" s="345"/>
      <c r="B7" s="350"/>
      <c r="C7" s="351"/>
      <c r="D7" s="543" t="s">
        <v>233</v>
      </c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346"/>
      <c r="S7" s="346"/>
      <c r="T7" s="347"/>
    </row>
    <row r="8" spans="1:20" ht="12.75">
      <c r="A8" s="345"/>
      <c r="B8" s="350"/>
      <c r="C8" s="351"/>
      <c r="D8" s="543" t="s">
        <v>234</v>
      </c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346"/>
      <c r="S8" s="346"/>
      <c r="T8" s="347"/>
    </row>
    <row r="9" spans="1:20" ht="12.75">
      <c r="A9" s="345"/>
      <c r="B9" s="350"/>
      <c r="C9" s="351"/>
      <c r="D9" s="543" t="s">
        <v>235</v>
      </c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346"/>
      <c r="S9" s="346"/>
      <c r="T9" s="347"/>
    </row>
    <row r="10" spans="1:20" ht="12.75">
      <c r="A10" s="345"/>
      <c r="B10" s="350"/>
      <c r="C10" s="351"/>
      <c r="D10" s="543" t="s">
        <v>236</v>
      </c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346"/>
      <c r="S10" s="346"/>
      <c r="T10" s="347"/>
    </row>
    <row r="11" spans="1:20" ht="12.75">
      <c r="A11" s="345"/>
      <c r="B11" s="350"/>
      <c r="C11" s="351"/>
      <c r="D11" s="543" t="s">
        <v>237</v>
      </c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346"/>
      <c r="S11" s="346"/>
      <c r="T11" s="347"/>
    </row>
    <row r="12" spans="1:20" ht="12.75">
      <c r="A12" s="345"/>
      <c r="B12" s="350"/>
      <c r="C12" s="351"/>
      <c r="D12" s="543" t="s">
        <v>238</v>
      </c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346"/>
      <c r="S12" s="346"/>
      <c r="T12" s="347"/>
    </row>
    <row r="13" spans="1:20" ht="12.75">
      <c r="A13" s="345"/>
      <c r="B13" s="350" t="s">
        <v>15</v>
      </c>
      <c r="C13" s="351"/>
      <c r="D13" s="543" t="s">
        <v>239</v>
      </c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346"/>
      <c r="S13" s="346"/>
      <c r="T13" s="347"/>
    </row>
    <row r="14" spans="1:20" ht="12.75">
      <c r="A14" s="345"/>
      <c r="B14" s="350" t="s">
        <v>240</v>
      </c>
      <c r="C14" s="352"/>
      <c r="D14" s="543" t="s">
        <v>241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346"/>
      <c r="S14" s="346"/>
      <c r="T14" s="347"/>
    </row>
    <row r="15" spans="1:20" ht="12.75">
      <c r="A15" s="345"/>
      <c r="B15" s="350" t="s">
        <v>242</v>
      </c>
      <c r="C15" s="351"/>
      <c r="D15" s="543" t="s">
        <v>243</v>
      </c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346"/>
      <c r="S15" s="346"/>
      <c r="T15" s="347"/>
    </row>
    <row r="16" spans="1:20" ht="12.75">
      <c r="A16" s="345"/>
      <c r="B16" s="350" t="s">
        <v>244</v>
      </c>
      <c r="C16" s="351"/>
      <c r="D16" s="543" t="s">
        <v>245</v>
      </c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346"/>
      <c r="S16" s="346"/>
      <c r="T16" s="347"/>
    </row>
    <row r="17" spans="1:20" ht="12.75">
      <c r="A17" s="345"/>
      <c r="B17" s="350" t="s">
        <v>246</v>
      </c>
      <c r="C17" s="351"/>
      <c r="D17" s="543" t="s">
        <v>247</v>
      </c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346"/>
      <c r="S17" s="346"/>
      <c r="T17" s="347"/>
    </row>
    <row r="18" spans="1:20" ht="12.75">
      <c r="A18" s="345"/>
      <c r="B18" s="353" t="s">
        <v>248</v>
      </c>
      <c r="C18" s="354"/>
      <c r="D18" s="544" t="s">
        <v>249</v>
      </c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346"/>
      <c r="S18" s="346"/>
      <c r="T18" s="347"/>
    </row>
    <row r="19" spans="1:20" ht="12.75">
      <c r="A19" s="345"/>
      <c r="B19" s="355"/>
      <c r="C19" s="355"/>
      <c r="D19" s="356"/>
      <c r="E19" s="356"/>
      <c r="F19" s="356"/>
      <c r="G19" s="356"/>
      <c r="H19" s="356"/>
      <c r="I19" s="356"/>
      <c r="J19" s="356"/>
      <c r="K19" s="346"/>
      <c r="L19" s="346"/>
      <c r="M19" s="346"/>
      <c r="N19" s="346"/>
      <c r="O19" s="346"/>
      <c r="P19" s="346"/>
      <c r="Q19" s="346"/>
      <c r="R19" s="346"/>
      <c r="S19" s="346"/>
      <c r="T19" s="347"/>
    </row>
    <row r="20" spans="1:20" ht="12.75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</row>
    <row r="21" spans="1:20" ht="12.75" customHeight="1">
      <c r="A21" s="345"/>
      <c r="B21" s="545" t="s">
        <v>250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357"/>
      <c r="T21" s="347"/>
    </row>
    <row r="22" spans="1:20" ht="12.75">
      <c r="A22" s="345"/>
      <c r="B22" s="358" t="s">
        <v>251</v>
      </c>
      <c r="C22" s="359" t="s">
        <v>252</v>
      </c>
      <c r="D22" s="360" t="s">
        <v>91</v>
      </c>
      <c r="E22" s="361" t="s">
        <v>88</v>
      </c>
      <c r="F22" s="361" t="s">
        <v>253</v>
      </c>
      <c r="G22" s="361" t="s">
        <v>254</v>
      </c>
      <c r="H22" s="361" t="s">
        <v>255</v>
      </c>
      <c r="I22" s="362" t="s">
        <v>256</v>
      </c>
      <c r="J22" s="363"/>
      <c r="K22" s="358" t="s">
        <v>84</v>
      </c>
      <c r="L22" s="364" t="s">
        <v>252</v>
      </c>
      <c r="M22" s="365" t="s">
        <v>91</v>
      </c>
      <c r="N22" s="366" t="s">
        <v>88</v>
      </c>
      <c r="O22" s="366" t="s">
        <v>253</v>
      </c>
      <c r="P22" s="366" t="s">
        <v>254</v>
      </c>
      <c r="Q22" s="366" t="s">
        <v>255</v>
      </c>
      <c r="R22" s="367" t="s">
        <v>256</v>
      </c>
      <c r="S22" s="368"/>
      <c r="T22" s="347"/>
    </row>
    <row r="23" spans="1:20" ht="12.75">
      <c r="A23" s="345"/>
      <c r="B23" s="369">
        <v>10</v>
      </c>
      <c r="C23" s="370">
        <v>0</v>
      </c>
      <c r="D23" s="371">
        <v>1</v>
      </c>
      <c r="E23" s="372">
        <v>2</v>
      </c>
      <c r="F23" s="372">
        <v>3</v>
      </c>
      <c r="G23" s="372">
        <v>4</v>
      </c>
      <c r="H23" s="372">
        <v>5</v>
      </c>
      <c r="I23" s="373">
        <v>6</v>
      </c>
      <c r="J23" s="363"/>
      <c r="K23" s="374">
        <v>10</v>
      </c>
      <c r="L23" s="375">
        <v>0</v>
      </c>
      <c r="M23" s="376">
        <v>2</v>
      </c>
      <c r="N23" s="377">
        <v>3</v>
      </c>
      <c r="O23" s="377">
        <v>4</v>
      </c>
      <c r="P23" s="377">
        <v>5</v>
      </c>
      <c r="Q23" s="377">
        <v>6</v>
      </c>
      <c r="R23" s="378">
        <v>7</v>
      </c>
      <c r="S23" s="379"/>
      <c r="T23" s="347"/>
    </row>
    <row r="24" spans="1:20" ht="12.75">
      <c r="A24" s="345"/>
      <c r="B24" s="380">
        <v>11</v>
      </c>
      <c r="C24" s="381">
        <v>0</v>
      </c>
      <c r="D24" s="382">
        <v>1</v>
      </c>
      <c r="E24" s="383">
        <v>2</v>
      </c>
      <c r="F24" s="383">
        <v>3</v>
      </c>
      <c r="G24" s="383">
        <v>4</v>
      </c>
      <c r="H24" s="383">
        <v>5</v>
      </c>
      <c r="I24" s="384">
        <v>6</v>
      </c>
      <c r="J24" s="363"/>
      <c r="K24" s="380">
        <v>11</v>
      </c>
      <c r="L24" s="381">
        <v>0</v>
      </c>
      <c r="M24" s="382">
        <v>2</v>
      </c>
      <c r="N24" s="383">
        <v>3</v>
      </c>
      <c r="O24" s="383">
        <v>4</v>
      </c>
      <c r="P24" s="383">
        <v>5</v>
      </c>
      <c r="Q24" s="383">
        <v>6</v>
      </c>
      <c r="R24" s="384">
        <v>7</v>
      </c>
      <c r="S24" s="379"/>
      <c r="T24" s="347"/>
    </row>
    <row r="25" spans="1:20" ht="12.75">
      <c r="A25" s="345"/>
      <c r="B25" s="380">
        <v>12</v>
      </c>
      <c r="C25" s="381">
        <v>0</v>
      </c>
      <c r="D25" s="382">
        <v>1</v>
      </c>
      <c r="E25" s="383">
        <v>2</v>
      </c>
      <c r="F25" s="383">
        <v>3</v>
      </c>
      <c r="G25" s="383">
        <v>4</v>
      </c>
      <c r="H25" s="383">
        <v>5</v>
      </c>
      <c r="I25" s="384">
        <v>6</v>
      </c>
      <c r="J25" s="379"/>
      <c r="K25" s="380">
        <v>12</v>
      </c>
      <c r="L25" s="381">
        <v>0</v>
      </c>
      <c r="M25" s="382">
        <v>2</v>
      </c>
      <c r="N25" s="383">
        <v>3</v>
      </c>
      <c r="O25" s="383">
        <v>4</v>
      </c>
      <c r="P25" s="383">
        <v>5</v>
      </c>
      <c r="Q25" s="383">
        <v>6</v>
      </c>
      <c r="R25" s="384">
        <v>7</v>
      </c>
      <c r="S25" s="379"/>
      <c r="T25" s="347"/>
    </row>
    <row r="26" spans="1:20" ht="12.75">
      <c r="A26" s="345"/>
      <c r="B26" s="380">
        <v>13</v>
      </c>
      <c r="C26" s="381">
        <v>0</v>
      </c>
      <c r="D26" s="382">
        <v>1</v>
      </c>
      <c r="E26" s="383">
        <v>2</v>
      </c>
      <c r="F26" s="383">
        <v>3</v>
      </c>
      <c r="G26" s="383">
        <v>4</v>
      </c>
      <c r="H26" s="383">
        <v>5</v>
      </c>
      <c r="I26" s="384">
        <v>6</v>
      </c>
      <c r="J26" s="363"/>
      <c r="K26" s="380">
        <v>13</v>
      </c>
      <c r="L26" s="381">
        <v>0</v>
      </c>
      <c r="M26" s="382">
        <v>2</v>
      </c>
      <c r="N26" s="383">
        <v>3</v>
      </c>
      <c r="O26" s="383">
        <v>4</v>
      </c>
      <c r="P26" s="383">
        <v>5</v>
      </c>
      <c r="Q26" s="383">
        <v>6</v>
      </c>
      <c r="R26" s="384">
        <v>7</v>
      </c>
      <c r="S26" s="379"/>
      <c r="T26" s="347"/>
    </row>
    <row r="27" spans="1:20" ht="12.75">
      <c r="A27" s="345"/>
      <c r="B27" s="380">
        <v>14</v>
      </c>
      <c r="C27" s="381">
        <v>0</v>
      </c>
      <c r="D27" s="382">
        <v>1</v>
      </c>
      <c r="E27" s="383">
        <v>2</v>
      </c>
      <c r="F27" s="383">
        <v>3</v>
      </c>
      <c r="G27" s="383">
        <v>4</v>
      </c>
      <c r="H27" s="383">
        <v>5</v>
      </c>
      <c r="I27" s="384">
        <v>6</v>
      </c>
      <c r="J27" s="363"/>
      <c r="K27" s="380">
        <v>14</v>
      </c>
      <c r="L27" s="381">
        <v>0</v>
      </c>
      <c r="M27" s="382">
        <v>2</v>
      </c>
      <c r="N27" s="383">
        <v>3</v>
      </c>
      <c r="O27" s="383">
        <v>4</v>
      </c>
      <c r="P27" s="383">
        <v>5</v>
      </c>
      <c r="Q27" s="383">
        <v>6</v>
      </c>
      <c r="R27" s="384">
        <v>7</v>
      </c>
      <c r="S27" s="379"/>
      <c r="T27" s="347"/>
    </row>
    <row r="28" spans="1:20" ht="12.75">
      <c r="A28" s="345"/>
      <c r="B28" s="380">
        <v>15</v>
      </c>
      <c r="C28" s="381">
        <v>0</v>
      </c>
      <c r="D28" s="382">
        <v>2</v>
      </c>
      <c r="E28" s="383">
        <v>3</v>
      </c>
      <c r="F28" s="383">
        <v>4</v>
      </c>
      <c r="G28" s="383">
        <v>5</v>
      </c>
      <c r="H28" s="383">
        <v>6</v>
      </c>
      <c r="I28" s="384">
        <v>7</v>
      </c>
      <c r="J28" s="363"/>
      <c r="K28" s="380">
        <v>15</v>
      </c>
      <c r="L28" s="381">
        <v>0</v>
      </c>
      <c r="M28" s="382">
        <v>3</v>
      </c>
      <c r="N28" s="383">
        <v>4</v>
      </c>
      <c r="O28" s="383">
        <v>5</v>
      </c>
      <c r="P28" s="383">
        <v>6</v>
      </c>
      <c r="Q28" s="383">
        <v>7</v>
      </c>
      <c r="R28" s="384">
        <v>8</v>
      </c>
      <c r="S28" s="379"/>
      <c r="T28" s="347"/>
    </row>
    <row r="29" spans="1:20" ht="12.75">
      <c r="A29" s="345"/>
      <c r="B29" s="380">
        <v>16</v>
      </c>
      <c r="C29" s="381">
        <v>0</v>
      </c>
      <c r="D29" s="382">
        <v>2</v>
      </c>
      <c r="E29" s="383">
        <v>3</v>
      </c>
      <c r="F29" s="383">
        <v>4</v>
      </c>
      <c r="G29" s="383">
        <v>5</v>
      </c>
      <c r="H29" s="383">
        <v>6</v>
      </c>
      <c r="I29" s="384">
        <v>7</v>
      </c>
      <c r="J29" s="363"/>
      <c r="K29" s="380">
        <v>16</v>
      </c>
      <c r="L29" s="381">
        <v>0</v>
      </c>
      <c r="M29" s="382">
        <v>3</v>
      </c>
      <c r="N29" s="383">
        <v>4</v>
      </c>
      <c r="O29" s="383">
        <v>5</v>
      </c>
      <c r="P29" s="383">
        <v>6</v>
      </c>
      <c r="Q29" s="383">
        <v>7</v>
      </c>
      <c r="R29" s="384">
        <v>8</v>
      </c>
      <c r="S29" s="379"/>
      <c r="T29" s="347"/>
    </row>
    <row r="30" spans="1:20" ht="12.75">
      <c r="A30" s="345"/>
      <c r="B30" s="380">
        <v>17</v>
      </c>
      <c r="C30" s="381">
        <v>0</v>
      </c>
      <c r="D30" s="382">
        <v>3</v>
      </c>
      <c r="E30" s="383">
        <v>4</v>
      </c>
      <c r="F30" s="383">
        <v>5</v>
      </c>
      <c r="G30" s="383">
        <v>6</v>
      </c>
      <c r="H30" s="383">
        <v>7</v>
      </c>
      <c r="I30" s="384">
        <v>8</v>
      </c>
      <c r="J30" s="363"/>
      <c r="K30" s="380">
        <v>17</v>
      </c>
      <c r="L30" s="381">
        <v>0</v>
      </c>
      <c r="M30" s="382">
        <v>3</v>
      </c>
      <c r="N30" s="383">
        <v>4</v>
      </c>
      <c r="O30" s="383">
        <v>5</v>
      </c>
      <c r="P30" s="383">
        <v>6</v>
      </c>
      <c r="Q30" s="383">
        <v>7</v>
      </c>
      <c r="R30" s="384">
        <v>8</v>
      </c>
      <c r="S30" s="379"/>
      <c r="T30" s="347"/>
    </row>
    <row r="31" spans="1:20" ht="12.75">
      <c r="A31" s="345"/>
      <c r="B31" s="380">
        <v>18</v>
      </c>
      <c r="C31" s="381">
        <v>0</v>
      </c>
      <c r="D31" s="382">
        <v>3</v>
      </c>
      <c r="E31" s="383">
        <v>4</v>
      </c>
      <c r="F31" s="383">
        <v>5</v>
      </c>
      <c r="G31" s="383">
        <v>6</v>
      </c>
      <c r="H31" s="383">
        <v>7</v>
      </c>
      <c r="I31" s="384">
        <v>8</v>
      </c>
      <c r="J31" s="363"/>
      <c r="K31" s="380">
        <v>18</v>
      </c>
      <c r="L31" s="381">
        <v>0</v>
      </c>
      <c r="M31" s="382">
        <v>3</v>
      </c>
      <c r="N31" s="383">
        <v>4</v>
      </c>
      <c r="O31" s="383">
        <v>5</v>
      </c>
      <c r="P31" s="383">
        <v>6</v>
      </c>
      <c r="Q31" s="383">
        <v>7</v>
      </c>
      <c r="R31" s="384">
        <v>8</v>
      </c>
      <c r="S31" s="379"/>
      <c r="T31" s="347"/>
    </row>
    <row r="32" spans="1:20" ht="12.75">
      <c r="A32" s="345"/>
      <c r="B32" s="380">
        <v>19</v>
      </c>
      <c r="C32" s="381">
        <v>0</v>
      </c>
      <c r="D32" s="382">
        <v>3</v>
      </c>
      <c r="E32" s="383">
        <v>4</v>
      </c>
      <c r="F32" s="383">
        <v>5</v>
      </c>
      <c r="G32" s="383">
        <v>6</v>
      </c>
      <c r="H32" s="383">
        <v>7</v>
      </c>
      <c r="I32" s="384">
        <v>8</v>
      </c>
      <c r="J32" s="363"/>
      <c r="K32" s="380">
        <v>19</v>
      </c>
      <c r="L32" s="381">
        <v>0</v>
      </c>
      <c r="M32" s="382">
        <v>3</v>
      </c>
      <c r="N32" s="383">
        <v>4</v>
      </c>
      <c r="O32" s="383">
        <v>5</v>
      </c>
      <c r="P32" s="383">
        <v>6</v>
      </c>
      <c r="Q32" s="383">
        <v>7</v>
      </c>
      <c r="R32" s="384">
        <v>8</v>
      </c>
      <c r="S32" s="379"/>
      <c r="T32" s="347"/>
    </row>
    <row r="33" spans="1:20" ht="12.75">
      <c r="A33" s="345"/>
      <c r="B33" s="380">
        <v>20</v>
      </c>
      <c r="C33" s="381">
        <v>0</v>
      </c>
      <c r="D33" s="382">
        <v>4</v>
      </c>
      <c r="E33" s="383">
        <v>5</v>
      </c>
      <c r="F33" s="383">
        <v>6</v>
      </c>
      <c r="G33" s="383">
        <v>7</v>
      </c>
      <c r="H33" s="383">
        <v>8</v>
      </c>
      <c r="I33" s="385">
        <v>9</v>
      </c>
      <c r="J33" s="363"/>
      <c r="K33" s="380">
        <v>20</v>
      </c>
      <c r="L33" s="381">
        <v>0</v>
      </c>
      <c r="M33" s="382">
        <v>4</v>
      </c>
      <c r="N33" s="383">
        <v>5</v>
      </c>
      <c r="O33" s="383">
        <v>6</v>
      </c>
      <c r="P33" s="383">
        <v>7</v>
      </c>
      <c r="Q33" s="383">
        <v>8</v>
      </c>
      <c r="R33" s="384">
        <v>9</v>
      </c>
      <c r="S33" s="379"/>
      <c r="T33" s="347"/>
    </row>
    <row r="34" spans="1:20" ht="12.75">
      <c r="A34" s="345"/>
      <c r="B34" s="380">
        <v>21</v>
      </c>
      <c r="C34" s="381">
        <v>0</v>
      </c>
      <c r="D34" s="382">
        <v>4</v>
      </c>
      <c r="E34" s="383">
        <v>5</v>
      </c>
      <c r="F34" s="383">
        <v>6</v>
      </c>
      <c r="G34" s="383">
        <v>7</v>
      </c>
      <c r="H34" s="383">
        <v>8</v>
      </c>
      <c r="I34" s="384">
        <v>9</v>
      </c>
      <c r="J34" s="363"/>
      <c r="K34" s="380">
        <v>21</v>
      </c>
      <c r="L34" s="381">
        <v>0</v>
      </c>
      <c r="M34" s="382">
        <v>4</v>
      </c>
      <c r="N34" s="383">
        <v>5</v>
      </c>
      <c r="O34" s="383">
        <v>6</v>
      </c>
      <c r="P34" s="383">
        <v>7</v>
      </c>
      <c r="Q34" s="383">
        <v>8</v>
      </c>
      <c r="R34" s="384">
        <v>9</v>
      </c>
      <c r="S34" s="379"/>
      <c r="T34" s="347"/>
    </row>
    <row r="35" spans="1:20" ht="12.75">
      <c r="A35" s="345"/>
      <c r="B35" s="380">
        <v>22</v>
      </c>
      <c r="C35" s="381">
        <v>0</v>
      </c>
      <c r="D35" s="382">
        <v>4</v>
      </c>
      <c r="E35" s="383">
        <v>5</v>
      </c>
      <c r="F35" s="386" t="s">
        <v>257</v>
      </c>
      <c r="G35" s="383">
        <v>7</v>
      </c>
      <c r="H35" s="383">
        <v>8</v>
      </c>
      <c r="I35" s="384">
        <v>9</v>
      </c>
      <c r="J35" s="363"/>
      <c r="K35" s="380">
        <v>22</v>
      </c>
      <c r="L35" s="381">
        <v>0</v>
      </c>
      <c r="M35" s="382">
        <v>4</v>
      </c>
      <c r="N35" s="383">
        <v>5</v>
      </c>
      <c r="O35" s="383">
        <v>6</v>
      </c>
      <c r="P35" s="383">
        <v>7</v>
      </c>
      <c r="Q35" s="383">
        <v>8</v>
      </c>
      <c r="R35" s="384">
        <v>9</v>
      </c>
      <c r="S35" s="379"/>
      <c r="T35" s="347"/>
    </row>
    <row r="36" spans="1:20" ht="12.75">
      <c r="A36" s="345"/>
      <c r="B36" s="380">
        <v>23</v>
      </c>
      <c r="C36" s="381">
        <v>0</v>
      </c>
      <c r="D36" s="382">
        <v>5</v>
      </c>
      <c r="E36" s="383">
        <v>6</v>
      </c>
      <c r="F36" s="383">
        <v>7</v>
      </c>
      <c r="G36" s="383">
        <v>8</v>
      </c>
      <c r="H36" s="383">
        <v>9</v>
      </c>
      <c r="I36" s="384">
        <v>10</v>
      </c>
      <c r="J36" s="363"/>
      <c r="K36" s="380">
        <v>23</v>
      </c>
      <c r="L36" s="381">
        <v>0</v>
      </c>
      <c r="M36" s="382">
        <v>4</v>
      </c>
      <c r="N36" s="383">
        <v>5</v>
      </c>
      <c r="O36" s="383">
        <v>6</v>
      </c>
      <c r="P36" s="383">
        <v>7</v>
      </c>
      <c r="Q36" s="383">
        <v>8</v>
      </c>
      <c r="R36" s="384">
        <v>9</v>
      </c>
      <c r="S36" s="379"/>
      <c r="T36" s="347"/>
    </row>
    <row r="37" spans="1:20" ht="12.75">
      <c r="A37" s="345"/>
      <c r="B37" s="380">
        <v>24</v>
      </c>
      <c r="C37" s="381">
        <v>0</v>
      </c>
      <c r="D37" s="382">
        <v>5</v>
      </c>
      <c r="E37" s="383">
        <v>6</v>
      </c>
      <c r="F37" s="383">
        <v>7</v>
      </c>
      <c r="G37" s="383">
        <v>8</v>
      </c>
      <c r="H37" s="383">
        <v>9</v>
      </c>
      <c r="I37" s="384">
        <v>10</v>
      </c>
      <c r="J37" s="363"/>
      <c r="K37" s="380">
        <v>24</v>
      </c>
      <c r="L37" s="381">
        <v>0</v>
      </c>
      <c r="M37" s="382">
        <v>4</v>
      </c>
      <c r="N37" s="383">
        <v>5</v>
      </c>
      <c r="O37" s="383">
        <v>6</v>
      </c>
      <c r="P37" s="383">
        <v>7</v>
      </c>
      <c r="Q37" s="383">
        <v>8</v>
      </c>
      <c r="R37" s="384">
        <v>9</v>
      </c>
      <c r="S37" s="379"/>
      <c r="T37" s="347"/>
    </row>
    <row r="38" spans="1:20" ht="12.75">
      <c r="A38" s="345"/>
      <c r="B38" s="380">
        <v>25</v>
      </c>
      <c r="C38" s="381">
        <v>0</v>
      </c>
      <c r="D38" s="382">
        <v>6</v>
      </c>
      <c r="E38" s="383">
        <v>7</v>
      </c>
      <c r="F38" s="383">
        <v>8</v>
      </c>
      <c r="G38" s="383">
        <v>9</v>
      </c>
      <c r="H38" s="383">
        <v>10</v>
      </c>
      <c r="I38" s="384">
        <v>11</v>
      </c>
      <c r="J38" s="363"/>
      <c r="K38" s="387">
        <v>25</v>
      </c>
      <c r="L38" s="388">
        <v>0</v>
      </c>
      <c r="M38" s="389">
        <v>4</v>
      </c>
      <c r="N38" s="390">
        <v>5</v>
      </c>
      <c r="O38" s="390">
        <v>6</v>
      </c>
      <c r="P38" s="390">
        <v>7</v>
      </c>
      <c r="Q38" s="390">
        <v>8</v>
      </c>
      <c r="R38" s="391">
        <v>9</v>
      </c>
      <c r="S38" s="379"/>
      <c r="T38" s="347"/>
    </row>
    <row r="39" spans="1:20" ht="12.75">
      <c r="A39" s="345"/>
      <c r="B39" s="380">
        <v>26</v>
      </c>
      <c r="C39" s="381">
        <v>0</v>
      </c>
      <c r="D39" s="382">
        <v>6</v>
      </c>
      <c r="E39" s="383">
        <v>7</v>
      </c>
      <c r="F39" s="383">
        <v>8</v>
      </c>
      <c r="G39" s="383">
        <v>9</v>
      </c>
      <c r="H39" s="383">
        <v>10</v>
      </c>
      <c r="I39" s="384">
        <v>11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47"/>
    </row>
    <row r="40" spans="1:20" ht="12.75">
      <c r="A40" s="345"/>
      <c r="B40" s="387">
        <v>27</v>
      </c>
      <c r="C40" s="388">
        <v>0</v>
      </c>
      <c r="D40" s="389">
        <v>6</v>
      </c>
      <c r="E40" s="390">
        <v>7</v>
      </c>
      <c r="F40" s="390">
        <v>8</v>
      </c>
      <c r="G40" s="390">
        <v>9</v>
      </c>
      <c r="H40" s="390">
        <v>10</v>
      </c>
      <c r="I40" s="391">
        <v>11</v>
      </c>
      <c r="J40" s="363"/>
      <c r="K40" s="392" t="s">
        <v>252</v>
      </c>
      <c r="L40" s="546" t="s">
        <v>258</v>
      </c>
      <c r="M40" s="546"/>
      <c r="N40" s="546"/>
      <c r="O40" s="546"/>
      <c r="P40" s="363"/>
      <c r="Q40" s="363"/>
      <c r="R40" s="363"/>
      <c r="S40" s="363"/>
      <c r="T40" s="347"/>
    </row>
    <row r="41" spans="1:20" ht="12.75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7"/>
    </row>
    <row r="42" spans="1:20" ht="12.75">
      <c r="A42" s="345"/>
      <c r="B42" s="547" t="s">
        <v>259</v>
      </c>
      <c r="C42" s="547"/>
      <c r="D42" s="547"/>
      <c r="E42" s="547"/>
      <c r="F42" s="547"/>
      <c r="G42" s="547"/>
      <c r="H42" s="548" t="s">
        <v>248</v>
      </c>
      <c r="I42" s="548"/>
      <c r="J42" s="548"/>
      <c r="K42" s="549" t="s">
        <v>80</v>
      </c>
      <c r="L42" s="549"/>
      <c r="M42" s="549"/>
      <c r="N42" s="550" t="s">
        <v>82</v>
      </c>
      <c r="O42" s="550"/>
      <c r="P42" s="346"/>
      <c r="Q42" s="551" t="s">
        <v>260</v>
      </c>
      <c r="R42" s="551"/>
      <c r="S42" s="551"/>
      <c r="T42" s="347"/>
    </row>
    <row r="43" spans="1:20" ht="12.75">
      <c r="A43" s="345"/>
      <c r="B43" s="562" t="s">
        <v>261</v>
      </c>
      <c r="C43" s="562"/>
      <c r="D43" s="393">
        <v>4</v>
      </c>
      <c r="E43" s="563" t="s">
        <v>262</v>
      </c>
      <c r="F43" s="563"/>
      <c r="G43" s="563"/>
      <c r="H43" s="564">
        <v>15</v>
      </c>
      <c r="I43" s="564"/>
      <c r="J43" s="394" t="s">
        <v>263</v>
      </c>
      <c r="K43" s="552">
        <v>1</v>
      </c>
      <c r="L43" s="552"/>
      <c r="M43" s="552"/>
      <c r="N43" s="553">
        <v>6</v>
      </c>
      <c r="O43" s="553"/>
      <c r="P43" s="554" t="s">
        <v>264</v>
      </c>
      <c r="Q43" s="560">
        <v>1600</v>
      </c>
      <c r="R43" s="560"/>
      <c r="S43" s="560"/>
      <c r="T43" s="347"/>
    </row>
    <row r="44" spans="1:20" ht="12.75">
      <c r="A44" s="345"/>
      <c r="B44" s="555" t="s">
        <v>265</v>
      </c>
      <c r="C44" s="555"/>
      <c r="D44" s="395">
        <v>3</v>
      </c>
      <c r="E44" s="556" t="s">
        <v>266</v>
      </c>
      <c r="F44" s="556"/>
      <c r="G44" s="556"/>
      <c r="H44" s="557">
        <v>18</v>
      </c>
      <c r="I44" s="557"/>
      <c r="J44" s="396" t="s">
        <v>267</v>
      </c>
      <c r="K44" s="558">
        <v>-2</v>
      </c>
      <c r="L44" s="558"/>
      <c r="M44" s="558"/>
      <c r="N44" s="559">
        <v>3</v>
      </c>
      <c r="O44" s="559"/>
      <c r="P44" s="554"/>
      <c r="Q44" s="561">
        <v>150</v>
      </c>
      <c r="R44" s="561"/>
      <c r="S44" s="561"/>
      <c r="T44" s="347"/>
    </row>
    <row r="45" spans="1:20" ht="12.75">
      <c r="A45" s="345"/>
      <c r="B45" s="555" t="s">
        <v>268</v>
      </c>
      <c r="C45" s="555"/>
      <c r="D45" s="395">
        <v>2</v>
      </c>
      <c r="E45" s="556" t="s">
        <v>269</v>
      </c>
      <c r="F45" s="556"/>
      <c r="G45" s="556"/>
      <c r="H45" s="557"/>
      <c r="I45" s="557"/>
      <c r="J45" s="396" t="s">
        <v>270</v>
      </c>
      <c r="K45" s="558"/>
      <c r="L45" s="558"/>
      <c r="M45" s="558"/>
      <c r="N45" s="559"/>
      <c r="O45" s="559"/>
      <c r="P45" s="554"/>
      <c r="Q45" s="561"/>
      <c r="R45" s="561"/>
      <c r="S45" s="561"/>
      <c r="T45" s="347"/>
    </row>
    <row r="46" spans="1:20" ht="12.75">
      <c r="A46" s="345"/>
      <c r="B46" s="555" t="s">
        <v>271</v>
      </c>
      <c r="C46" s="555"/>
      <c r="D46" s="395">
        <v>2</v>
      </c>
      <c r="E46" s="556" t="s">
        <v>272</v>
      </c>
      <c r="F46" s="556"/>
      <c r="G46" s="556"/>
      <c r="H46" s="557"/>
      <c r="I46" s="557"/>
      <c r="J46" s="396" t="s">
        <v>272</v>
      </c>
      <c r="K46" s="558"/>
      <c r="L46" s="558"/>
      <c r="M46" s="558"/>
      <c r="N46" s="559"/>
      <c r="O46" s="559"/>
      <c r="P46" s="554"/>
      <c r="Q46" s="561"/>
      <c r="R46" s="561"/>
      <c r="S46" s="561"/>
      <c r="T46" s="347"/>
    </row>
    <row r="47" spans="1:20" ht="12.75">
      <c r="A47" s="345"/>
      <c r="B47" s="555" t="s">
        <v>273</v>
      </c>
      <c r="C47" s="555"/>
      <c r="D47" s="395">
        <v>2</v>
      </c>
      <c r="E47" s="556" t="s">
        <v>274</v>
      </c>
      <c r="F47" s="556"/>
      <c r="G47" s="556"/>
      <c r="H47" s="557"/>
      <c r="I47" s="557"/>
      <c r="J47" s="396" t="s">
        <v>275</v>
      </c>
      <c r="K47" s="558"/>
      <c r="L47" s="558"/>
      <c r="M47" s="558"/>
      <c r="N47" s="559"/>
      <c r="O47" s="559"/>
      <c r="P47" s="554"/>
      <c r="Q47" s="561"/>
      <c r="R47" s="561"/>
      <c r="S47" s="561"/>
      <c r="T47" s="347"/>
    </row>
    <row r="48" spans="1:20" ht="12.75" customHeight="1">
      <c r="A48" s="345"/>
      <c r="B48" s="565" t="s">
        <v>276</v>
      </c>
      <c r="C48" s="565"/>
      <c r="D48" s="397">
        <v>2</v>
      </c>
      <c r="E48" s="566" t="s">
        <v>277</v>
      </c>
      <c r="F48" s="566"/>
      <c r="G48" s="566"/>
      <c r="H48" s="567"/>
      <c r="I48" s="567"/>
      <c r="J48" s="398" t="s">
        <v>278</v>
      </c>
      <c r="K48" s="568"/>
      <c r="L48" s="568"/>
      <c r="M48" s="568"/>
      <c r="N48" s="569"/>
      <c r="O48" s="569"/>
      <c r="P48" s="554"/>
      <c r="Q48" s="561"/>
      <c r="R48" s="561"/>
      <c r="S48" s="561"/>
      <c r="T48" s="347"/>
    </row>
    <row r="49" spans="1:20" ht="12.75" customHeight="1">
      <c r="A49" s="345"/>
      <c r="B49" s="570" t="s">
        <v>279</v>
      </c>
      <c r="C49" s="570"/>
      <c r="D49" s="570"/>
      <c r="E49" s="570"/>
      <c r="F49" s="570"/>
      <c r="G49" s="570"/>
      <c r="H49" s="346"/>
      <c r="I49" s="346"/>
      <c r="J49" s="346"/>
      <c r="K49" s="571"/>
      <c r="L49" s="571"/>
      <c r="M49" s="571"/>
      <c r="N49" s="572"/>
      <c r="O49" s="572"/>
      <c r="P49" s="573" t="s">
        <v>280</v>
      </c>
      <c r="Q49" s="561"/>
      <c r="R49" s="561"/>
      <c r="S49" s="561"/>
      <c r="T49" s="347"/>
    </row>
    <row r="50" spans="1:20" ht="12.75">
      <c r="A50" s="345"/>
      <c r="B50" s="574" t="s">
        <v>281</v>
      </c>
      <c r="C50" s="574"/>
      <c r="D50" s="574"/>
      <c r="E50" s="574"/>
      <c r="F50" s="574"/>
      <c r="G50" s="574"/>
      <c r="H50" s="346"/>
      <c r="I50" s="346"/>
      <c r="J50" s="346"/>
      <c r="K50" s="557"/>
      <c r="L50" s="557"/>
      <c r="M50" s="557"/>
      <c r="N50" s="575"/>
      <c r="O50" s="575"/>
      <c r="P50" s="573"/>
      <c r="Q50" s="561"/>
      <c r="R50" s="561"/>
      <c r="S50" s="561"/>
      <c r="T50" s="347"/>
    </row>
    <row r="51" spans="1:20" ht="12.75">
      <c r="A51" s="345"/>
      <c r="B51" s="399"/>
      <c r="C51" s="356"/>
      <c r="D51" s="356"/>
      <c r="E51" s="356"/>
      <c r="F51" s="356"/>
      <c r="G51" s="356"/>
      <c r="H51" s="346"/>
      <c r="I51" s="346"/>
      <c r="J51" s="346"/>
      <c r="K51" s="557"/>
      <c r="L51" s="557"/>
      <c r="M51" s="557"/>
      <c r="N51" s="575"/>
      <c r="O51" s="575"/>
      <c r="P51" s="573"/>
      <c r="Q51" s="561"/>
      <c r="R51" s="561"/>
      <c r="S51" s="561"/>
      <c r="T51" s="347"/>
    </row>
    <row r="52" spans="1:20" ht="12.75">
      <c r="A52" s="345"/>
      <c r="B52" s="399"/>
      <c r="C52" s="356"/>
      <c r="D52" s="356"/>
      <c r="E52" s="356"/>
      <c r="F52" s="356"/>
      <c r="G52" s="356"/>
      <c r="H52" s="346"/>
      <c r="I52" s="346"/>
      <c r="J52" s="346"/>
      <c r="K52" s="567"/>
      <c r="L52" s="567"/>
      <c r="M52" s="567"/>
      <c r="N52" s="577"/>
      <c r="O52" s="577"/>
      <c r="P52" s="573"/>
      <c r="Q52" s="561"/>
      <c r="R52" s="561"/>
      <c r="S52" s="561"/>
      <c r="T52" s="347"/>
    </row>
    <row r="53" spans="1:20" ht="12.75">
      <c r="A53" s="345"/>
      <c r="B53" s="399"/>
      <c r="C53" s="356"/>
      <c r="D53" s="356"/>
      <c r="E53" s="356"/>
      <c r="F53" s="356"/>
      <c r="G53" s="356"/>
      <c r="H53" s="346"/>
      <c r="I53" s="346"/>
      <c r="J53" s="346"/>
      <c r="K53" s="578" t="s">
        <v>282</v>
      </c>
      <c r="L53" s="578"/>
      <c r="M53" s="578"/>
      <c r="N53" s="578"/>
      <c r="O53" s="578"/>
      <c r="P53" s="578"/>
      <c r="Q53" s="579">
        <f>(ROUNDDOWN((SUM(Q43:S52)/1000),0))*10</f>
        <v>10</v>
      </c>
      <c r="R53" s="579"/>
      <c r="S53" s="579"/>
      <c r="T53" s="347"/>
    </row>
    <row r="54" spans="1:20" ht="12.75">
      <c r="A54" s="576" t="s">
        <v>283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</row>
    <row r="55" spans="1:20" ht="12.75">
      <c r="A55" s="345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7"/>
    </row>
    <row r="56" spans="1:20" ht="12.75">
      <c r="A56" s="400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2"/>
    </row>
  </sheetData>
  <sheetProtection selectLockedCells="1" selectUnlockedCells="1"/>
  <mergeCells count="79">
    <mergeCell ref="A54:T54"/>
    <mergeCell ref="N51:O51"/>
    <mergeCell ref="Q51:S51"/>
    <mergeCell ref="K52:M52"/>
    <mergeCell ref="N52:O52"/>
    <mergeCell ref="Q52:S52"/>
    <mergeCell ref="K53:P53"/>
    <mergeCell ref="Q53:S53"/>
    <mergeCell ref="B49:G49"/>
    <mergeCell ref="K49:M49"/>
    <mergeCell ref="N49:O49"/>
    <mergeCell ref="P49:P52"/>
    <mergeCell ref="Q49:S49"/>
    <mergeCell ref="B50:G50"/>
    <mergeCell ref="K50:M50"/>
    <mergeCell ref="N50:O50"/>
    <mergeCell ref="Q50:S50"/>
    <mergeCell ref="K51:M51"/>
    <mergeCell ref="H47:I47"/>
    <mergeCell ref="K47:M47"/>
    <mergeCell ref="N47:O47"/>
    <mergeCell ref="Q47:S47"/>
    <mergeCell ref="B48:C48"/>
    <mergeCell ref="E48:G48"/>
    <mergeCell ref="H48:I48"/>
    <mergeCell ref="K48:M48"/>
    <mergeCell ref="N48:O48"/>
    <mergeCell ref="Q48:S48"/>
    <mergeCell ref="Q45:S45"/>
    <mergeCell ref="B46:C46"/>
    <mergeCell ref="E46:G46"/>
    <mergeCell ref="H46:I46"/>
    <mergeCell ref="K46:M46"/>
    <mergeCell ref="N46:O46"/>
    <mergeCell ref="Q46:S46"/>
    <mergeCell ref="Q43:S43"/>
    <mergeCell ref="B44:C44"/>
    <mergeCell ref="E44:G44"/>
    <mergeCell ref="H44:I44"/>
    <mergeCell ref="K44:M44"/>
    <mergeCell ref="N44:O44"/>
    <mergeCell ref="Q44:S44"/>
    <mergeCell ref="B43:C43"/>
    <mergeCell ref="E43:G43"/>
    <mergeCell ref="H43:I43"/>
    <mergeCell ref="K43:M43"/>
    <mergeCell ref="N43:O43"/>
    <mergeCell ref="P43:P48"/>
    <mergeCell ref="B45:C45"/>
    <mergeCell ref="E45:G45"/>
    <mergeCell ref="H45:I45"/>
    <mergeCell ref="K45:M45"/>
    <mergeCell ref="N45:O45"/>
    <mergeCell ref="B47:C47"/>
    <mergeCell ref="E47:G47"/>
    <mergeCell ref="L40:O40"/>
    <mergeCell ref="B42:G42"/>
    <mergeCell ref="H42:J42"/>
    <mergeCell ref="K42:M42"/>
    <mergeCell ref="N42:O42"/>
    <mergeCell ref="Q42:S42"/>
    <mergeCell ref="D14:Q14"/>
    <mergeCell ref="D15:Q15"/>
    <mergeCell ref="D16:Q16"/>
    <mergeCell ref="D17:Q17"/>
    <mergeCell ref="D18:Q18"/>
    <mergeCell ref="B21:R21"/>
    <mergeCell ref="D8:Q8"/>
    <mergeCell ref="D9:Q9"/>
    <mergeCell ref="D10:Q10"/>
    <mergeCell ref="D11:Q11"/>
    <mergeCell ref="D12:Q12"/>
    <mergeCell ref="D13:Q13"/>
    <mergeCell ref="B2:Q2"/>
    <mergeCell ref="D3:Q3"/>
    <mergeCell ref="D4:Q4"/>
    <mergeCell ref="D5:Q5"/>
    <mergeCell ref="D6:Q6"/>
    <mergeCell ref="D7:Q7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J27" sqref="J27"/>
    </sheetView>
  </sheetViews>
  <sheetFormatPr defaultColWidth="7.00390625" defaultRowHeight="12.75" customHeight="1"/>
  <cols>
    <col min="1" max="1" width="2.625" style="1" customWidth="1"/>
    <col min="2" max="13" width="7.00390625" style="1" customWidth="1"/>
    <col min="14" max="14" width="2.75390625" style="1" customWidth="1"/>
    <col min="15" max="16384" width="7.00390625" style="1" customWidth="1"/>
  </cols>
  <sheetData>
    <row r="1" spans="1:14" ht="12.7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s="407" customFormat="1" ht="12.75" customHeight="1">
      <c r="A2" s="405"/>
      <c r="B2" s="406" t="s">
        <v>284</v>
      </c>
      <c r="C2" s="405"/>
      <c r="D2" s="405"/>
      <c r="E2" s="405"/>
      <c r="F2" s="580" t="s">
        <v>285</v>
      </c>
      <c r="G2" s="580"/>
      <c r="H2" s="580"/>
      <c r="I2" s="580"/>
      <c r="J2" s="405"/>
      <c r="K2" s="405"/>
      <c r="L2" s="405"/>
      <c r="M2" s="405"/>
      <c r="N2" s="405"/>
    </row>
    <row r="3" spans="1:14" ht="12.7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5" customFormat="1" ht="12.75" customHeight="1">
      <c r="A4" s="409"/>
      <c r="B4" s="427" t="s">
        <v>37</v>
      </c>
      <c r="C4" s="428" t="s">
        <v>205</v>
      </c>
      <c r="D4" s="410"/>
      <c r="E4" s="427" t="s">
        <v>38</v>
      </c>
      <c r="F4" s="429" t="s">
        <v>205</v>
      </c>
      <c r="G4" s="410"/>
      <c r="H4" s="410"/>
      <c r="I4" s="410"/>
      <c r="J4" s="410"/>
      <c r="K4" s="410"/>
      <c r="L4" s="410"/>
      <c r="M4" s="410"/>
      <c r="N4" s="410"/>
    </row>
    <row r="5" spans="1:14" s="5" customFormat="1" ht="12.75" customHeight="1">
      <c r="A5" s="411"/>
      <c r="B5" s="430">
        <v>0</v>
      </c>
      <c r="C5" s="431">
        <v>1</v>
      </c>
      <c r="D5" s="412"/>
      <c r="E5" s="432">
        <v>0</v>
      </c>
      <c r="F5" s="433">
        <v>1</v>
      </c>
      <c r="G5" s="412"/>
      <c r="H5" s="412"/>
      <c r="I5" s="412"/>
      <c r="J5" s="413"/>
      <c r="K5" s="412"/>
      <c r="L5" s="412"/>
      <c r="M5" s="412"/>
      <c r="N5" s="411"/>
    </row>
    <row r="6" spans="1:14" s="5" customFormat="1" ht="12.75" customHeight="1">
      <c r="A6" s="411"/>
      <c r="B6" s="434">
        <v>125</v>
      </c>
      <c r="C6" s="435">
        <v>2</v>
      </c>
      <c r="D6" s="413"/>
      <c r="E6" s="434">
        <v>150</v>
      </c>
      <c r="F6" s="435">
        <v>2</v>
      </c>
      <c r="G6" s="412"/>
      <c r="H6" s="412"/>
      <c r="I6" s="412"/>
      <c r="J6" s="413"/>
      <c r="K6" s="412"/>
      <c r="L6" s="413"/>
      <c r="M6" s="412"/>
      <c r="N6" s="411"/>
    </row>
    <row r="7" spans="1:14" s="5" customFormat="1" ht="12.75" customHeight="1">
      <c r="A7" s="411"/>
      <c r="B7" s="436">
        <f aca="true" t="shared" si="0" ref="B7:B70">(B6-B5)+25+B6</f>
        <v>275</v>
      </c>
      <c r="C7" s="435">
        <v>3</v>
      </c>
      <c r="D7" s="413"/>
      <c r="E7" s="436">
        <f>(E6-E5)+100+E6</f>
        <v>400</v>
      </c>
      <c r="F7" s="435">
        <v>3</v>
      </c>
      <c r="G7" s="412"/>
      <c r="H7" s="412"/>
      <c r="I7" s="412"/>
      <c r="J7" s="413"/>
      <c r="K7" s="412"/>
      <c r="L7" s="413"/>
      <c r="M7" s="412"/>
      <c r="N7" s="411"/>
    </row>
    <row r="8" spans="1:14" s="5" customFormat="1" ht="12.75" customHeight="1">
      <c r="A8" s="411"/>
      <c r="B8" s="436">
        <f t="shared" si="0"/>
        <v>450</v>
      </c>
      <c r="C8" s="435">
        <v>4</v>
      </c>
      <c r="D8" s="413"/>
      <c r="E8" s="436">
        <f>(E7-E6)+350+E7</f>
        <v>1000</v>
      </c>
      <c r="F8" s="435">
        <v>4</v>
      </c>
      <c r="G8" s="412"/>
      <c r="H8" s="412"/>
      <c r="I8" s="412"/>
      <c r="J8" s="413"/>
      <c r="K8" s="412"/>
      <c r="L8" s="413"/>
      <c r="M8" s="412"/>
      <c r="N8" s="411"/>
    </row>
    <row r="9" spans="1:14" s="5" customFormat="1" ht="12.75" customHeight="1">
      <c r="A9" s="411"/>
      <c r="B9" s="436">
        <f t="shared" si="0"/>
        <v>650</v>
      </c>
      <c r="C9" s="435">
        <v>5</v>
      </c>
      <c r="D9" s="413"/>
      <c r="E9" s="436">
        <f>(E8-E7)+400+E8</f>
        <v>2000</v>
      </c>
      <c r="F9" s="435">
        <v>5</v>
      </c>
      <c r="G9" s="412"/>
      <c r="H9" s="412"/>
      <c r="I9" s="412"/>
      <c r="J9" s="413"/>
      <c r="K9" s="412"/>
      <c r="L9" s="413"/>
      <c r="M9" s="412"/>
      <c r="N9" s="411"/>
    </row>
    <row r="10" spans="1:14" s="5" customFormat="1" ht="12.75" customHeight="1">
      <c r="A10" s="411"/>
      <c r="B10" s="436">
        <f t="shared" si="0"/>
        <v>875</v>
      </c>
      <c r="C10" s="435">
        <v>6</v>
      </c>
      <c r="D10" s="413"/>
      <c r="E10" s="436">
        <f>(E9-E8)+E9</f>
        <v>3000</v>
      </c>
      <c r="F10" s="435">
        <v>6</v>
      </c>
      <c r="G10" s="412"/>
      <c r="H10" s="412"/>
      <c r="I10" s="412"/>
      <c r="J10" s="413"/>
      <c r="K10" s="412"/>
      <c r="L10" s="413"/>
      <c r="M10" s="412"/>
      <c r="N10" s="411"/>
    </row>
    <row r="11" spans="1:14" s="5" customFormat="1" ht="12.75" customHeight="1">
      <c r="A11" s="411"/>
      <c r="B11" s="436">
        <f t="shared" si="0"/>
        <v>1125</v>
      </c>
      <c r="C11" s="435">
        <v>7</v>
      </c>
      <c r="D11" s="413"/>
      <c r="E11" s="436">
        <f aca="true" t="shared" si="1" ref="E11:E74">(E10-E9)+200+E10</f>
        <v>4200</v>
      </c>
      <c r="F11" s="435">
        <v>7</v>
      </c>
      <c r="G11" s="412"/>
      <c r="H11" s="412"/>
      <c r="I11" s="412"/>
      <c r="J11" s="413"/>
      <c r="K11" s="412"/>
      <c r="L11" s="413"/>
      <c r="M11" s="412"/>
      <c r="N11" s="411"/>
    </row>
    <row r="12" spans="1:14" s="5" customFormat="1" ht="12.75" customHeight="1">
      <c r="A12" s="411"/>
      <c r="B12" s="436">
        <f t="shared" si="0"/>
        <v>1400</v>
      </c>
      <c r="C12" s="435">
        <v>8</v>
      </c>
      <c r="D12" s="413"/>
      <c r="E12" s="436">
        <f t="shared" si="1"/>
        <v>5600</v>
      </c>
      <c r="F12" s="435">
        <v>8</v>
      </c>
      <c r="G12" s="412"/>
      <c r="H12" s="412"/>
      <c r="I12" s="412"/>
      <c r="J12" s="413"/>
      <c r="K12" s="412"/>
      <c r="L12" s="413"/>
      <c r="M12" s="412"/>
      <c r="N12" s="411"/>
    </row>
    <row r="13" spans="1:14" s="5" customFormat="1" ht="12.75" customHeight="1">
      <c r="A13" s="411"/>
      <c r="B13" s="436">
        <f t="shared" si="0"/>
        <v>1700</v>
      </c>
      <c r="C13" s="435">
        <v>9</v>
      </c>
      <c r="D13" s="413"/>
      <c r="E13" s="436">
        <f>(E12-E11)+300+E12</f>
        <v>7300</v>
      </c>
      <c r="F13" s="435">
        <v>9</v>
      </c>
      <c r="G13" s="412"/>
      <c r="H13" s="412"/>
      <c r="I13" s="412"/>
      <c r="J13" s="413"/>
      <c r="K13" s="412"/>
      <c r="L13" s="413"/>
      <c r="M13" s="412"/>
      <c r="N13" s="411"/>
    </row>
    <row r="14" spans="1:14" s="5" customFormat="1" ht="12.75" customHeight="1">
      <c r="A14" s="411"/>
      <c r="B14" s="436">
        <f t="shared" si="0"/>
        <v>2025</v>
      </c>
      <c r="C14" s="435">
        <v>10</v>
      </c>
      <c r="D14" s="413"/>
      <c r="E14" s="436">
        <f>(E13-E12)+E13</f>
        <v>9000</v>
      </c>
      <c r="F14" s="435">
        <v>10</v>
      </c>
      <c r="G14" s="412"/>
      <c r="H14" s="412"/>
      <c r="I14" s="412"/>
      <c r="J14" s="413"/>
      <c r="K14" s="412"/>
      <c r="L14" s="413"/>
      <c r="M14" s="412"/>
      <c r="N14" s="411"/>
    </row>
    <row r="15" spans="1:14" s="5" customFormat="1" ht="12.75" customHeight="1">
      <c r="A15" s="411"/>
      <c r="B15" s="436">
        <f t="shared" si="0"/>
        <v>2375</v>
      </c>
      <c r="C15" s="435">
        <v>11</v>
      </c>
      <c r="D15" s="413"/>
      <c r="E15" s="436">
        <f>(E14-E13)+300+E14</f>
        <v>11000</v>
      </c>
      <c r="F15" s="435">
        <v>11</v>
      </c>
      <c r="G15" s="412"/>
      <c r="H15" s="412"/>
      <c r="I15" s="412"/>
      <c r="J15" s="413"/>
      <c r="K15" s="412"/>
      <c r="L15" s="413"/>
      <c r="M15" s="412"/>
      <c r="N15" s="411"/>
    </row>
    <row r="16" spans="1:14" s="5" customFormat="1" ht="12.75" customHeight="1">
      <c r="A16" s="411"/>
      <c r="B16" s="436">
        <f t="shared" si="0"/>
        <v>2750</v>
      </c>
      <c r="C16" s="435">
        <v>12</v>
      </c>
      <c r="D16" s="413"/>
      <c r="E16" s="436">
        <f t="shared" si="1"/>
        <v>13200</v>
      </c>
      <c r="F16" s="435">
        <v>12</v>
      </c>
      <c r="G16" s="412"/>
      <c r="H16" s="412"/>
      <c r="I16" s="412"/>
      <c r="J16" s="413"/>
      <c r="K16" s="412"/>
      <c r="L16" s="413"/>
      <c r="M16" s="412"/>
      <c r="N16" s="411"/>
    </row>
    <row r="17" spans="1:14" s="5" customFormat="1" ht="12.75" customHeight="1">
      <c r="A17" s="411"/>
      <c r="B17" s="436">
        <f t="shared" si="0"/>
        <v>3150</v>
      </c>
      <c r="C17" s="435">
        <v>13</v>
      </c>
      <c r="D17" s="413"/>
      <c r="E17" s="436">
        <f>(E16-E15)+100+E16</f>
        <v>15500</v>
      </c>
      <c r="F17" s="435">
        <v>13</v>
      </c>
      <c r="G17" s="412"/>
      <c r="H17" s="412"/>
      <c r="I17" s="412"/>
      <c r="J17" s="412"/>
      <c r="K17" s="412"/>
      <c r="L17" s="413"/>
      <c r="M17" s="412"/>
      <c r="N17" s="411"/>
    </row>
    <row r="18" spans="1:14" s="5" customFormat="1" ht="12.75" customHeight="1">
      <c r="A18" s="411"/>
      <c r="B18" s="436">
        <f t="shared" si="0"/>
        <v>3575</v>
      </c>
      <c r="C18" s="435">
        <v>14</v>
      </c>
      <c r="D18" s="413"/>
      <c r="E18" s="436">
        <v>19200</v>
      </c>
      <c r="F18" s="435">
        <v>14</v>
      </c>
      <c r="G18" s="412"/>
      <c r="H18" s="412"/>
      <c r="I18" s="412"/>
      <c r="J18" s="413"/>
      <c r="K18" s="412"/>
      <c r="L18" s="413"/>
      <c r="M18" s="412"/>
      <c r="N18" s="411"/>
    </row>
    <row r="19" spans="1:14" s="5" customFormat="1" ht="12.75" customHeight="1">
      <c r="A19" s="411"/>
      <c r="B19" s="436">
        <f>(B18-B17)+125+B18</f>
        <v>4125</v>
      </c>
      <c r="C19" s="435">
        <v>15</v>
      </c>
      <c r="D19" s="413"/>
      <c r="E19" s="436">
        <f>(E18-E17)-900+E18</f>
        <v>22000</v>
      </c>
      <c r="F19" s="435">
        <v>15</v>
      </c>
      <c r="G19" s="412"/>
      <c r="H19" s="412"/>
      <c r="I19" s="412"/>
      <c r="J19" s="413"/>
      <c r="K19" s="412"/>
      <c r="L19" s="413"/>
      <c r="M19" s="412"/>
      <c r="N19" s="411"/>
    </row>
    <row r="20" spans="1:14" s="5" customFormat="1" ht="12.75" customHeight="1">
      <c r="A20" s="411"/>
      <c r="B20" s="436">
        <f>(B19-B18)-75+B19</f>
        <v>4600</v>
      </c>
      <c r="C20" s="435">
        <v>16</v>
      </c>
      <c r="D20" s="413"/>
      <c r="E20" s="436">
        <f t="shared" si="1"/>
        <v>25000</v>
      </c>
      <c r="F20" s="435">
        <v>16</v>
      </c>
      <c r="G20" s="412"/>
      <c r="H20" s="412"/>
      <c r="I20" s="412"/>
      <c r="J20" s="413"/>
      <c r="K20" s="412"/>
      <c r="L20" s="413"/>
      <c r="M20" s="412"/>
      <c r="N20" s="411"/>
    </row>
    <row r="21" spans="1:14" s="5" customFormat="1" ht="12.75" customHeight="1">
      <c r="A21" s="411"/>
      <c r="B21" s="436">
        <f t="shared" si="0"/>
        <v>5100</v>
      </c>
      <c r="C21" s="435">
        <v>17</v>
      </c>
      <c r="D21" s="413"/>
      <c r="E21" s="436">
        <f t="shared" si="1"/>
        <v>28200</v>
      </c>
      <c r="F21" s="435">
        <v>17</v>
      </c>
      <c r="G21" s="412"/>
      <c r="H21" s="412"/>
      <c r="I21" s="412"/>
      <c r="J21" s="413"/>
      <c r="K21" s="412"/>
      <c r="L21" s="413"/>
      <c r="M21" s="412"/>
      <c r="N21" s="411"/>
    </row>
    <row r="22" spans="1:14" s="5" customFormat="1" ht="12.75" customHeight="1">
      <c r="A22" s="411"/>
      <c r="B22" s="436">
        <f t="shared" si="0"/>
        <v>5625</v>
      </c>
      <c r="C22" s="435">
        <v>18</v>
      </c>
      <c r="D22" s="413"/>
      <c r="E22" s="436">
        <f t="shared" si="1"/>
        <v>31600</v>
      </c>
      <c r="F22" s="435">
        <v>18</v>
      </c>
      <c r="G22" s="412"/>
      <c r="H22" s="412"/>
      <c r="I22" s="412"/>
      <c r="J22" s="413"/>
      <c r="K22" s="412"/>
      <c r="L22" s="413"/>
      <c r="M22" s="412"/>
      <c r="N22" s="411"/>
    </row>
    <row r="23" spans="1:14" s="5" customFormat="1" ht="12.75" customHeight="1">
      <c r="A23" s="411"/>
      <c r="B23" s="436">
        <f t="shared" si="0"/>
        <v>6175</v>
      </c>
      <c r="C23" s="435">
        <v>19</v>
      </c>
      <c r="D23" s="413"/>
      <c r="E23" s="436">
        <f t="shared" si="1"/>
        <v>35200</v>
      </c>
      <c r="F23" s="435">
        <v>19</v>
      </c>
      <c r="G23" s="412"/>
      <c r="H23" s="412"/>
      <c r="I23" s="412"/>
      <c r="J23" s="413"/>
      <c r="K23" s="412"/>
      <c r="L23" s="413"/>
      <c r="M23" s="412"/>
      <c r="N23" s="411"/>
    </row>
    <row r="24" spans="1:14" s="5" customFormat="1" ht="12.75" customHeight="1">
      <c r="A24" s="411"/>
      <c r="B24" s="436">
        <f t="shared" si="0"/>
        <v>6750</v>
      </c>
      <c r="C24" s="435">
        <v>20</v>
      </c>
      <c r="D24" s="413"/>
      <c r="E24" s="436">
        <f t="shared" si="1"/>
        <v>39000</v>
      </c>
      <c r="F24" s="435">
        <v>20</v>
      </c>
      <c r="G24" s="412"/>
      <c r="H24" s="412"/>
      <c r="I24" s="412"/>
      <c r="J24" s="413"/>
      <c r="K24" s="412"/>
      <c r="L24" s="413"/>
      <c r="M24" s="412"/>
      <c r="N24" s="411"/>
    </row>
    <row r="25" spans="1:14" s="5" customFormat="1" ht="12.75" customHeight="1">
      <c r="A25" s="411"/>
      <c r="B25" s="436">
        <f t="shared" si="0"/>
        <v>7350</v>
      </c>
      <c r="C25" s="435">
        <v>21</v>
      </c>
      <c r="D25" s="413"/>
      <c r="E25" s="436">
        <f t="shared" si="1"/>
        <v>43000</v>
      </c>
      <c r="F25" s="435">
        <v>21</v>
      </c>
      <c r="G25" s="412"/>
      <c r="H25" s="412"/>
      <c r="I25" s="412"/>
      <c r="J25" s="413"/>
      <c r="K25" s="412"/>
      <c r="L25" s="413"/>
      <c r="M25" s="412"/>
      <c r="N25" s="411"/>
    </row>
    <row r="26" spans="1:14" s="5" customFormat="1" ht="12.75" customHeight="1">
      <c r="A26" s="411"/>
      <c r="B26" s="436">
        <f t="shared" si="0"/>
        <v>7975</v>
      </c>
      <c r="C26" s="435">
        <v>22</v>
      </c>
      <c r="D26" s="413"/>
      <c r="E26" s="436">
        <f t="shared" si="1"/>
        <v>47200</v>
      </c>
      <c r="F26" s="435">
        <v>22</v>
      </c>
      <c r="G26" s="412"/>
      <c r="H26" s="412"/>
      <c r="I26" s="412"/>
      <c r="J26" s="413"/>
      <c r="K26" s="412"/>
      <c r="L26" s="413"/>
      <c r="M26" s="412"/>
      <c r="N26" s="411"/>
    </row>
    <row r="27" spans="1:14" s="5" customFormat="1" ht="12.75" customHeight="1">
      <c r="A27" s="411"/>
      <c r="B27" s="436">
        <f t="shared" si="0"/>
        <v>8625</v>
      </c>
      <c r="C27" s="435">
        <v>23</v>
      </c>
      <c r="D27" s="413"/>
      <c r="E27" s="436">
        <f t="shared" si="1"/>
        <v>51600</v>
      </c>
      <c r="F27" s="435">
        <v>23</v>
      </c>
      <c r="G27" s="412"/>
      <c r="H27" s="412"/>
      <c r="I27" s="412"/>
      <c r="J27" s="413"/>
      <c r="K27" s="412"/>
      <c r="L27" s="413"/>
      <c r="M27" s="412"/>
      <c r="N27" s="411"/>
    </row>
    <row r="28" spans="1:14" s="5" customFormat="1" ht="12.75" customHeight="1">
      <c r="A28" s="411"/>
      <c r="B28" s="436">
        <f t="shared" si="0"/>
        <v>9300</v>
      </c>
      <c r="C28" s="435">
        <v>24</v>
      </c>
      <c r="D28" s="413"/>
      <c r="E28" s="436">
        <f t="shared" si="1"/>
        <v>56200</v>
      </c>
      <c r="F28" s="435">
        <v>24</v>
      </c>
      <c r="G28" s="412"/>
      <c r="H28" s="412"/>
      <c r="I28" s="412"/>
      <c r="J28" s="413"/>
      <c r="K28" s="412"/>
      <c r="L28" s="413"/>
      <c r="M28" s="412"/>
      <c r="N28" s="411"/>
    </row>
    <row r="29" spans="1:14" s="5" customFormat="1" ht="12.75" customHeight="1">
      <c r="A29" s="411"/>
      <c r="B29" s="436">
        <f t="shared" si="0"/>
        <v>10000</v>
      </c>
      <c r="C29" s="435">
        <v>25</v>
      </c>
      <c r="D29" s="413"/>
      <c r="E29" s="436">
        <f t="shared" si="1"/>
        <v>61000</v>
      </c>
      <c r="F29" s="435">
        <v>25</v>
      </c>
      <c r="G29" s="414"/>
      <c r="H29" s="412"/>
      <c r="I29" s="414"/>
      <c r="J29" s="413"/>
      <c r="K29" s="414"/>
      <c r="L29" s="413"/>
      <c r="M29" s="414"/>
      <c r="N29" s="411"/>
    </row>
    <row r="30" spans="1:14" s="5" customFormat="1" ht="12.75" customHeight="1">
      <c r="A30" s="411"/>
      <c r="B30" s="436">
        <f t="shared" si="0"/>
        <v>10725</v>
      </c>
      <c r="C30" s="435">
        <v>26</v>
      </c>
      <c r="D30" s="413"/>
      <c r="E30" s="436">
        <f t="shared" si="1"/>
        <v>66000</v>
      </c>
      <c r="F30" s="435">
        <v>26</v>
      </c>
      <c r="G30" s="414"/>
      <c r="H30" s="412"/>
      <c r="I30" s="414"/>
      <c r="J30" s="413"/>
      <c r="K30" s="414"/>
      <c r="L30" s="413"/>
      <c r="M30" s="414"/>
      <c r="N30" s="411"/>
    </row>
    <row r="31" spans="1:14" s="5" customFormat="1" ht="12.75" customHeight="1">
      <c r="A31" s="411"/>
      <c r="B31" s="436">
        <f t="shared" si="0"/>
        <v>11475</v>
      </c>
      <c r="C31" s="435">
        <v>27</v>
      </c>
      <c r="D31" s="413"/>
      <c r="E31" s="436">
        <f t="shared" si="1"/>
        <v>71200</v>
      </c>
      <c r="F31" s="435">
        <v>27</v>
      </c>
      <c r="G31" s="414"/>
      <c r="H31" s="412"/>
      <c r="I31" s="414"/>
      <c r="J31" s="413"/>
      <c r="K31" s="414"/>
      <c r="L31" s="413"/>
      <c r="M31" s="414"/>
      <c r="N31" s="411"/>
    </row>
    <row r="32" spans="1:14" s="5" customFormat="1" ht="12.75" customHeight="1">
      <c r="A32" s="411"/>
      <c r="B32" s="436">
        <f t="shared" si="0"/>
        <v>12250</v>
      </c>
      <c r="C32" s="435">
        <v>28</v>
      </c>
      <c r="D32" s="413"/>
      <c r="E32" s="436">
        <f t="shared" si="1"/>
        <v>76600</v>
      </c>
      <c r="F32" s="435">
        <v>28</v>
      </c>
      <c r="G32" s="414"/>
      <c r="H32" s="412"/>
      <c r="I32" s="414"/>
      <c r="J32" s="413"/>
      <c r="K32" s="414"/>
      <c r="L32" s="413"/>
      <c r="M32" s="414"/>
      <c r="N32" s="411"/>
    </row>
    <row r="33" spans="1:14" s="5" customFormat="1" ht="12.75" customHeight="1">
      <c r="A33" s="411"/>
      <c r="B33" s="436">
        <f t="shared" si="0"/>
        <v>13050</v>
      </c>
      <c r="C33" s="435">
        <v>29</v>
      </c>
      <c r="D33" s="413"/>
      <c r="E33" s="436">
        <f t="shared" si="1"/>
        <v>82200</v>
      </c>
      <c r="F33" s="435">
        <v>29</v>
      </c>
      <c r="G33" s="414"/>
      <c r="H33" s="412"/>
      <c r="I33" s="414"/>
      <c r="J33" s="413"/>
      <c r="K33" s="414"/>
      <c r="L33" s="413"/>
      <c r="M33" s="414"/>
      <c r="N33" s="411"/>
    </row>
    <row r="34" spans="1:14" s="5" customFormat="1" ht="12.75" customHeight="1">
      <c r="A34" s="411"/>
      <c r="B34" s="436">
        <f t="shared" si="0"/>
        <v>13875</v>
      </c>
      <c r="C34" s="435">
        <v>30</v>
      </c>
      <c r="D34" s="413"/>
      <c r="E34" s="436">
        <f t="shared" si="1"/>
        <v>88000</v>
      </c>
      <c r="F34" s="435">
        <v>30</v>
      </c>
      <c r="G34" s="414"/>
      <c r="H34" s="412"/>
      <c r="I34" s="414"/>
      <c r="J34" s="413"/>
      <c r="K34" s="414"/>
      <c r="L34" s="413"/>
      <c r="M34" s="414"/>
      <c r="N34" s="411"/>
    </row>
    <row r="35" spans="1:14" s="5" customFormat="1" ht="12.75" customHeight="1">
      <c r="A35" s="411"/>
      <c r="B35" s="436">
        <f t="shared" si="0"/>
        <v>14725</v>
      </c>
      <c r="C35" s="435">
        <v>31</v>
      </c>
      <c r="D35" s="413"/>
      <c r="E35" s="436">
        <f t="shared" si="1"/>
        <v>94000</v>
      </c>
      <c r="F35" s="435">
        <v>31</v>
      </c>
      <c r="G35" s="414"/>
      <c r="H35" s="412"/>
      <c r="I35" s="414"/>
      <c r="J35" s="413"/>
      <c r="K35" s="414"/>
      <c r="L35" s="413"/>
      <c r="M35" s="414"/>
      <c r="N35" s="411"/>
    </row>
    <row r="36" spans="1:14" s="5" customFormat="1" ht="12.75" customHeight="1">
      <c r="A36" s="411"/>
      <c r="B36" s="436">
        <f t="shared" si="0"/>
        <v>15600</v>
      </c>
      <c r="C36" s="435">
        <v>32</v>
      </c>
      <c r="D36" s="413"/>
      <c r="E36" s="436">
        <f t="shared" si="1"/>
        <v>100200</v>
      </c>
      <c r="F36" s="435">
        <v>32</v>
      </c>
      <c r="G36" s="414"/>
      <c r="H36" s="412"/>
      <c r="I36" s="414"/>
      <c r="J36" s="413"/>
      <c r="K36" s="414"/>
      <c r="L36" s="413"/>
      <c r="M36" s="414"/>
      <c r="N36" s="411"/>
    </row>
    <row r="37" spans="1:14" s="5" customFormat="1" ht="12.75" customHeight="1">
      <c r="A37" s="411"/>
      <c r="B37" s="436">
        <f t="shared" si="0"/>
        <v>16500</v>
      </c>
      <c r="C37" s="435">
        <v>33</v>
      </c>
      <c r="D37" s="413"/>
      <c r="E37" s="436">
        <f t="shared" si="1"/>
        <v>106600</v>
      </c>
      <c r="F37" s="435">
        <v>33</v>
      </c>
      <c r="G37" s="414"/>
      <c r="H37" s="412"/>
      <c r="I37" s="414"/>
      <c r="J37" s="413"/>
      <c r="K37" s="414"/>
      <c r="L37" s="413"/>
      <c r="M37" s="414"/>
      <c r="N37" s="411"/>
    </row>
    <row r="38" spans="1:14" s="5" customFormat="1" ht="12.75" customHeight="1">
      <c r="A38" s="411"/>
      <c r="B38" s="436">
        <f t="shared" si="0"/>
        <v>17425</v>
      </c>
      <c r="C38" s="435">
        <v>34</v>
      </c>
      <c r="D38" s="413"/>
      <c r="E38" s="436">
        <f t="shared" si="1"/>
        <v>113200</v>
      </c>
      <c r="F38" s="435">
        <v>34</v>
      </c>
      <c r="G38" s="414"/>
      <c r="H38" s="412"/>
      <c r="I38" s="414"/>
      <c r="J38" s="413"/>
      <c r="K38" s="414"/>
      <c r="L38" s="413"/>
      <c r="M38" s="414"/>
      <c r="N38" s="411"/>
    </row>
    <row r="39" spans="1:14" s="5" customFormat="1" ht="12.75" customHeight="1">
      <c r="A39" s="411"/>
      <c r="B39" s="436">
        <f t="shared" si="0"/>
        <v>18375</v>
      </c>
      <c r="C39" s="435">
        <v>35</v>
      </c>
      <c r="D39" s="413"/>
      <c r="E39" s="436">
        <f t="shared" si="1"/>
        <v>120000</v>
      </c>
      <c r="F39" s="435">
        <v>35</v>
      </c>
      <c r="G39" s="414"/>
      <c r="H39" s="412"/>
      <c r="I39" s="414"/>
      <c r="J39" s="413"/>
      <c r="K39" s="414"/>
      <c r="L39" s="413"/>
      <c r="M39" s="414"/>
      <c r="N39" s="411"/>
    </row>
    <row r="40" spans="1:14" s="5" customFormat="1" ht="12.75" customHeight="1">
      <c r="A40" s="411"/>
      <c r="B40" s="436">
        <f t="shared" si="0"/>
        <v>19350</v>
      </c>
      <c r="C40" s="435">
        <v>36</v>
      </c>
      <c r="D40" s="413"/>
      <c r="E40" s="436">
        <f t="shared" si="1"/>
        <v>127000</v>
      </c>
      <c r="F40" s="435">
        <v>36</v>
      </c>
      <c r="G40" s="414"/>
      <c r="H40" s="412"/>
      <c r="I40" s="414"/>
      <c r="J40" s="413"/>
      <c r="K40" s="414"/>
      <c r="L40" s="413"/>
      <c r="M40" s="414"/>
      <c r="N40" s="411"/>
    </row>
    <row r="41" spans="1:14" s="5" customFormat="1" ht="12.75" customHeight="1">
      <c r="A41" s="411"/>
      <c r="B41" s="436">
        <f t="shared" si="0"/>
        <v>20350</v>
      </c>
      <c r="C41" s="435">
        <v>37</v>
      </c>
      <c r="D41" s="413"/>
      <c r="E41" s="436">
        <f t="shared" si="1"/>
        <v>134200</v>
      </c>
      <c r="F41" s="435">
        <v>37</v>
      </c>
      <c r="G41" s="414"/>
      <c r="H41" s="412"/>
      <c r="I41" s="414"/>
      <c r="J41" s="413"/>
      <c r="K41" s="414"/>
      <c r="L41" s="413"/>
      <c r="M41" s="414"/>
      <c r="N41" s="411"/>
    </row>
    <row r="42" spans="1:14" s="5" customFormat="1" ht="12.75" customHeight="1">
      <c r="A42" s="411"/>
      <c r="B42" s="436">
        <f t="shared" si="0"/>
        <v>21375</v>
      </c>
      <c r="C42" s="435">
        <v>38</v>
      </c>
      <c r="D42" s="413"/>
      <c r="E42" s="436">
        <f t="shared" si="1"/>
        <v>141600</v>
      </c>
      <c r="F42" s="435">
        <v>38</v>
      </c>
      <c r="G42" s="414"/>
      <c r="H42" s="412"/>
      <c r="I42" s="414"/>
      <c r="J42" s="413"/>
      <c r="K42" s="414"/>
      <c r="L42" s="413"/>
      <c r="M42" s="414"/>
      <c r="N42" s="411"/>
    </row>
    <row r="43" spans="1:14" s="5" customFormat="1" ht="12.75" customHeight="1">
      <c r="A43" s="411"/>
      <c r="B43" s="436">
        <f t="shared" si="0"/>
        <v>22425</v>
      </c>
      <c r="C43" s="435">
        <v>39</v>
      </c>
      <c r="D43" s="413"/>
      <c r="E43" s="436">
        <f t="shared" si="1"/>
        <v>149200</v>
      </c>
      <c r="F43" s="435">
        <v>39</v>
      </c>
      <c r="G43" s="414"/>
      <c r="H43" s="412"/>
      <c r="I43" s="414"/>
      <c r="J43" s="413"/>
      <c r="K43" s="414"/>
      <c r="L43" s="413"/>
      <c r="M43" s="414"/>
      <c r="N43" s="411"/>
    </row>
    <row r="44" spans="1:14" s="5" customFormat="1" ht="12.75" customHeight="1">
      <c r="A44" s="411"/>
      <c r="B44" s="436">
        <f t="shared" si="0"/>
        <v>23500</v>
      </c>
      <c r="C44" s="435">
        <v>40</v>
      </c>
      <c r="D44" s="413"/>
      <c r="E44" s="436">
        <f t="shared" si="1"/>
        <v>157000</v>
      </c>
      <c r="F44" s="435">
        <v>40</v>
      </c>
      <c r="G44" s="414"/>
      <c r="H44" s="412"/>
      <c r="I44" s="414"/>
      <c r="J44" s="413"/>
      <c r="K44" s="414"/>
      <c r="L44" s="413"/>
      <c r="M44" s="414"/>
      <c r="N44" s="411"/>
    </row>
    <row r="45" spans="1:14" s="5" customFormat="1" ht="12.75" customHeight="1">
      <c r="A45" s="411"/>
      <c r="B45" s="436">
        <f t="shared" si="0"/>
        <v>24600</v>
      </c>
      <c r="C45" s="435">
        <v>41</v>
      </c>
      <c r="D45" s="413"/>
      <c r="E45" s="436">
        <f t="shared" si="1"/>
        <v>165000</v>
      </c>
      <c r="F45" s="435">
        <v>41</v>
      </c>
      <c r="G45" s="414"/>
      <c r="H45" s="412"/>
      <c r="I45" s="414"/>
      <c r="J45" s="413"/>
      <c r="K45" s="414"/>
      <c r="L45" s="413"/>
      <c r="M45" s="414"/>
      <c r="N45" s="411"/>
    </row>
    <row r="46" spans="1:14" s="5" customFormat="1" ht="12.75" customHeight="1">
      <c r="A46" s="411"/>
      <c r="B46" s="436">
        <f t="shared" si="0"/>
        <v>25725</v>
      </c>
      <c r="C46" s="435">
        <v>42</v>
      </c>
      <c r="D46" s="413"/>
      <c r="E46" s="436">
        <f t="shared" si="1"/>
        <v>173200</v>
      </c>
      <c r="F46" s="435">
        <v>42</v>
      </c>
      <c r="G46" s="414"/>
      <c r="H46" s="412"/>
      <c r="I46" s="414"/>
      <c r="J46" s="413"/>
      <c r="K46" s="414"/>
      <c r="L46" s="413"/>
      <c r="M46" s="414"/>
      <c r="N46" s="411"/>
    </row>
    <row r="47" spans="1:14" s="5" customFormat="1" ht="12.75" customHeight="1">
      <c r="A47" s="411"/>
      <c r="B47" s="436">
        <f t="shared" si="0"/>
        <v>26875</v>
      </c>
      <c r="C47" s="435">
        <v>43</v>
      </c>
      <c r="D47" s="413"/>
      <c r="E47" s="436">
        <f t="shared" si="1"/>
        <v>181600</v>
      </c>
      <c r="F47" s="435">
        <v>43</v>
      </c>
      <c r="G47" s="414"/>
      <c r="H47" s="412"/>
      <c r="I47" s="414"/>
      <c r="J47" s="413"/>
      <c r="K47" s="414"/>
      <c r="L47" s="413"/>
      <c r="M47" s="414"/>
      <c r="N47" s="411"/>
    </row>
    <row r="48" spans="1:14" s="5" customFormat="1" ht="12.75" customHeight="1">
      <c r="A48" s="411"/>
      <c r="B48" s="436">
        <f t="shared" si="0"/>
        <v>28050</v>
      </c>
      <c r="C48" s="435">
        <v>44</v>
      </c>
      <c r="D48" s="413"/>
      <c r="E48" s="436">
        <f t="shared" si="1"/>
        <v>190200</v>
      </c>
      <c r="F48" s="435">
        <v>44</v>
      </c>
      <c r="G48" s="414"/>
      <c r="H48" s="412"/>
      <c r="I48" s="414"/>
      <c r="J48" s="413"/>
      <c r="K48" s="414"/>
      <c r="L48" s="413"/>
      <c r="M48" s="414"/>
      <c r="N48" s="411"/>
    </row>
    <row r="49" spans="1:14" s="5" customFormat="1" ht="12.75" customHeight="1">
      <c r="A49" s="411"/>
      <c r="B49" s="436">
        <f t="shared" si="0"/>
        <v>29250</v>
      </c>
      <c r="C49" s="435">
        <v>45</v>
      </c>
      <c r="D49" s="413"/>
      <c r="E49" s="436">
        <f t="shared" si="1"/>
        <v>199000</v>
      </c>
      <c r="F49" s="435">
        <v>45</v>
      </c>
      <c r="G49" s="414"/>
      <c r="H49" s="412"/>
      <c r="I49" s="414"/>
      <c r="J49" s="413"/>
      <c r="K49" s="414"/>
      <c r="L49" s="413"/>
      <c r="M49" s="414"/>
      <c r="N49" s="411"/>
    </row>
    <row r="50" spans="1:14" s="5" customFormat="1" ht="12.75" customHeight="1">
      <c r="A50" s="411"/>
      <c r="B50" s="436">
        <f t="shared" si="0"/>
        <v>30475</v>
      </c>
      <c r="C50" s="435">
        <v>46</v>
      </c>
      <c r="D50" s="413"/>
      <c r="E50" s="436">
        <f t="shared" si="1"/>
        <v>208000</v>
      </c>
      <c r="F50" s="435">
        <v>46</v>
      </c>
      <c r="G50" s="414"/>
      <c r="H50" s="412"/>
      <c r="I50" s="414"/>
      <c r="J50" s="413"/>
      <c r="K50" s="414"/>
      <c r="L50" s="413"/>
      <c r="M50" s="414"/>
      <c r="N50" s="411"/>
    </row>
    <row r="51" spans="1:14" s="5" customFormat="1" ht="12.75" customHeight="1">
      <c r="A51" s="411"/>
      <c r="B51" s="436">
        <f t="shared" si="0"/>
        <v>31725</v>
      </c>
      <c r="C51" s="435">
        <v>47</v>
      </c>
      <c r="D51" s="413"/>
      <c r="E51" s="436">
        <f t="shared" si="1"/>
        <v>217200</v>
      </c>
      <c r="F51" s="435">
        <v>47</v>
      </c>
      <c r="G51" s="414"/>
      <c r="H51" s="412"/>
      <c r="I51" s="414"/>
      <c r="J51" s="413"/>
      <c r="K51" s="414"/>
      <c r="L51" s="413"/>
      <c r="M51" s="414"/>
      <c r="N51" s="411"/>
    </row>
    <row r="52" spans="1:14" s="5" customFormat="1" ht="12.75" customHeight="1">
      <c r="A52" s="411"/>
      <c r="B52" s="436">
        <f t="shared" si="0"/>
        <v>33000</v>
      </c>
      <c r="C52" s="435">
        <v>48</v>
      </c>
      <c r="D52" s="413"/>
      <c r="E52" s="436">
        <f t="shared" si="1"/>
        <v>226600</v>
      </c>
      <c r="F52" s="435">
        <v>48</v>
      </c>
      <c r="G52" s="414"/>
      <c r="H52" s="412"/>
      <c r="I52" s="414"/>
      <c r="J52" s="413"/>
      <c r="K52" s="414"/>
      <c r="L52" s="413"/>
      <c r="M52" s="414"/>
      <c r="N52" s="411"/>
    </row>
    <row r="53" spans="1:14" s="5" customFormat="1" ht="12.75" customHeight="1">
      <c r="A53" s="411"/>
      <c r="B53" s="436">
        <f t="shared" si="0"/>
        <v>34300</v>
      </c>
      <c r="C53" s="435">
        <v>49</v>
      </c>
      <c r="D53" s="413"/>
      <c r="E53" s="436">
        <f t="shared" si="1"/>
        <v>236200</v>
      </c>
      <c r="F53" s="435">
        <v>49</v>
      </c>
      <c r="G53" s="414"/>
      <c r="H53" s="412"/>
      <c r="I53" s="414"/>
      <c r="J53" s="413"/>
      <c r="K53" s="414"/>
      <c r="L53" s="413"/>
      <c r="M53" s="414"/>
      <c r="N53" s="411"/>
    </row>
    <row r="54" spans="1:14" s="5" customFormat="1" ht="12.75" customHeight="1">
      <c r="A54" s="411"/>
      <c r="B54" s="436">
        <f t="shared" si="0"/>
        <v>35625</v>
      </c>
      <c r="C54" s="435">
        <v>50</v>
      </c>
      <c r="D54" s="413"/>
      <c r="E54" s="436">
        <f t="shared" si="1"/>
        <v>246000</v>
      </c>
      <c r="F54" s="435">
        <v>50</v>
      </c>
      <c r="G54" s="414"/>
      <c r="H54" s="412"/>
      <c r="I54" s="414"/>
      <c r="J54" s="413"/>
      <c r="K54" s="414"/>
      <c r="L54" s="413"/>
      <c r="M54" s="414"/>
      <c r="N54" s="411"/>
    </row>
    <row r="55" spans="1:14" s="5" customFormat="1" ht="12.75" customHeight="1">
      <c r="A55" s="411"/>
      <c r="B55" s="436">
        <f t="shared" si="0"/>
        <v>36975</v>
      </c>
      <c r="C55" s="435">
        <v>51</v>
      </c>
      <c r="D55" s="413"/>
      <c r="E55" s="436">
        <f t="shared" si="1"/>
        <v>256000</v>
      </c>
      <c r="F55" s="435">
        <v>51</v>
      </c>
      <c r="G55" s="414"/>
      <c r="H55" s="412"/>
      <c r="I55" s="414"/>
      <c r="J55" s="413"/>
      <c r="K55" s="414"/>
      <c r="L55" s="413"/>
      <c r="M55" s="414"/>
      <c r="N55" s="411"/>
    </row>
    <row r="56" spans="1:14" s="5" customFormat="1" ht="12.75" customHeight="1">
      <c r="A56" s="411"/>
      <c r="B56" s="436">
        <f t="shared" si="0"/>
        <v>38350</v>
      </c>
      <c r="C56" s="435">
        <v>52</v>
      </c>
      <c r="D56" s="413"/>
      <c r="E56" s="436">
        <f t="shared" si="1"/>
        <v>266200</v>
      </c>
      <c r="F56" s="435">
        <v>52</v>
      </c>
      <c r="G56" s="414"/>
      <c r="H56" s="412"/>
      <c r="I56" s="414"/>
      <c r="J56" s="413"/>
      <c r="K56" s="414"/>
      <c r="L56" s="413"/>
      <c r="M56" s="414"/>
      <c r="N56" s="411"/>
    </row>
    <row r="57" spans="1:14" s="5" customFormat="1" ht="12.75" customHeight="1">
      <c r="A57" s="411"/>
      <c r="B57" s="436">
        <f t="shared" si="0"/>
        <v>39750</v>
      </c>
      <c r="C57" s="435">
        <v>53</v>
      </c>
      <c r="D57" s="413"/>
      <c r="E57" s="436">
        <f t="shared" si="1"/>
        <v>276600</v>
      </c>
      <c r="F57" s="435">
        <v>53</v>
      </c>
      <c r="G57" s="414"/>
      <c r="H57" s="412"/>
      <c r="I57" s="415"/>
      <c r="J57" s="413"/>
      <c r="K57" s="414"/>
      <c r="L57" s="413"/>
      <c r="M57" s="416"/>
      <c r="N57" s="411"/>
    </row>
    <row r="58" spans="1:14" s="5" customFormat="1" ht="12.75" customHeight="1">
      <c r="A58" s="411"/>
      <c r="B58" s="436">
        <f t="shared" si="0"/>
        <v>41175</v>
      </c>
      <c r="C58" s="435">
        <v>54</v>
      </c>
      <c r="D58" s="415"/>
      <c r="E58" s="436">
        <f t="shared" si="1"/>
        <v>287200</v>
      </c>
      <c r="F58" s="435">
        <v>54</v>
      </c>
      <c r="G58" s="415"/>
      <c r="H58" s="415"/>
      <c r="I58" s="415"/>
      <c r="J58" s="414"/>
      <c r="K58" s="414"/>
      <c r="L58" s="416"/>
      <c r="M58" s="416"/>
      <c r="N58" s="411"/>
    </row>
    <row r="59" spans="1:14" s="5" customFormat="1" ht="12.75" customHeight="1">
      <c r="A59" s="411"/>
      <c r="B59" s="436">
        <f t="shared" si="0"/>
        <v>42625</v>
      </c>
      <c r="C59" s="435">
        <v>55</v>
      </c>
      <c r="D59" s="417"/>
      <c r="E59" s="436">
        <f t="shared" si="1"/>
        <v>298000</v>
      </c>
      <c r="F59" s="435">
        <v>55</v>
      </c>
      <c r="G59" s="412"/>
      <c r="H59" s="418"/>
      <c r="I59" s="412"/>
      <c r="J59" s="412"/>
      <c r="K59" s="412"/>
      <c r="L59" s="412"/>
      <c r="M59" s="412"/>
      <c r="N59" s="411"/>
    </row>
    <row r="60" spans="1:14" s="5" customFormat="1" ht="12.75" customHeight="1">
      <c r="A60" s="411"/>
      <c r="B60" s="436">
        <f t="shared" si="0"/>
        <v>44100</v>
      </c>
      <c r="C60" s="435">
        <v>56</v>
      </c>
      <c r="D60" s="417"/>
      <c r="E60" s="436">
        <f t="shared" si="1"/>
        <v>309000</v>
      </c>
      <c r="F60" s="435">
        <v>56</v>
      </c>
      <c r="G60" s="412"/>
      <c r="H60" s="418"/>
      <c r="I60" s="418"/>
      <c r="J60" s="418"/>
      <c r="K60" s="418"/>
      <c r="L60" s="412"/>
      <c r="M60" s="412"/>
      <c r="N60" s="411"/>
    </row>
    <row r="61" spans="1:14" s="5" customFormat="1" ht="12.75" customHeight="1">
      <c r="A61" s="411"/>
      <c r="B61" s="436">
        <f t="shared" si="0"/>
        <v>45600</v>
      </c>
      <c r="C61" s="435">
        <v>57</v>
      </c>
      <c r="D61" s="417"/>
      <c r="E61" s="436">
        <f t="shared" si="1"/>
        <v>320200</v>
      </c>
      <c r="F61" s="435">
        <v>57</v>
      </c>
      <c r="G61" s="412"/>
      <c r="H61" s="418"/>
      <c r="I61" s="418"/>
      <c r="J61" s="418"/>
      <c r="K61" s="418"/>
      <c r="L61" s="412"/>
      <c r="M61" s="412"/>
      <c r="N61" s="411"/>
    </row>
    <row r="62" spans="1:14" s="5" customFormat="1" ht="12.75" customHeight="1">
      <c r="A62" s="411"/>
      <c r="B62" s="436">
        <f t="shared" si="0"/>
        <v>47125</v>
      </c>
      <c r="C62" s="435">
        <v>58</v>
      </c>
      <c r="D62" s="411"/>
      <c r="E62" s="436">
        <f t="shared" si="1"/>
        <v>331600</v>
      </c>
      <c r="F62" s="435">
        <v>58</v>
      </c>
      <c r="G62" s="411"/>
      <c r="H62" s="411"/>
      <c r="I62" s="411"/>
      <c r="J62" s="411"/>
      <c r="K62" s="411"/>
      <c r="L62" s="411"/>
      <c r="M62" s="411"/>
      <c r="N62" s="411"/>
    </row>
    <row r="63" spans="1:14" s="5" customFormat="1" ht="12.75" customHeight="1">
      <c r="A63" s="411"/>
      <c r="B63" s="436">
        <f t="shared" si="0"/>
        <v>48675</v>
      </c>
      <c r="C63" s="435">
        <v>59</v>
      </c>
      <c r="D63" s="411"/>
      <c r="E63" s="436">
        <f t="shared" si="1"/>
        <v>343200</v>
      </c>
      <c r="F63" s="435">
        <v>59</v>
      </c>
      <c r="G63" s="411"/>
      <c r="H63" s="411"/>
      <c r="I63" s="411"/>
      <c r="J63" s="411"/>
      <c r="K63" s="411"/>
      <c r="L63" s="411"/>
      <c r="M63" s="411"/>
      <c r="N63" s="411"/>
    </row>
    <row r="64" spans="2:6" s="5" customFormat="1" ht="12.75" customHeight="1">
      <c r="B64" s="436">
        <f t="shared" si="0"/>
        <v>50250</v>
      </c>
      <c r="C64" s="435">
        <v>60</v>
      </c>
      <c r="E64" s="436">
        <f t="shared" si="1"/>
        <v>355000</v>
      </c>
      <c r="F64" s="435">
        <v>60</v>
      </c>
    </row>
    <row r="65" spans="2:6" s="5" customFormat="1" ht="12.75" customHeight="1">
      <c r="B65" s="436">
        <f t="shared" si="0"/>
        <v>51850</v>
      </c>
      <c r="C65" s="435">
        <v>61</v>
      </c>
      <c r="E65" s="436">
        <f t="shared" si="1"/>
        <v>367000</v>
      </c>
      <c r="F65" s="435">
        <v>61</v>
      </c>
    </row>
    <row r="66" spans="2:6" s="5" customFormat="1" ht="12.75" customHeight="1">
      <c r="B66" s="436">
        <f t="shared" si="0"/>
        <v>53475</v>
      </c>
      <c r="C66" s="435">
        <v>62</v>
      </c>
      <c r="E66" s="436">
        <f t="shared" si="1"/>
        <v>379200</v>
      </c>
      <c r="F66" s="435">
        <v>62</v>
      </c>
    </row>
    <row r="67" spans="2:6" s="5" customFormat="1" ht="12.75" customHeight="1">
      <c r="B67" s="436">
        <f t="shared" si="0"/>
        <v>55125</v>
      </c>
      <c r="C67" s="435">
        <v>63</v>
      </c>
      <c r="E67" s="436">
        <f t="shared" si="1"/>
        <v>391600</v>
      </c>
      <c r="F67" s="435">
        <v>63</v>
      </c>
    </row>
    <row r="68" spans="2:6" s="5" customFormat="1" ht="12.75" customHeight="1">
      <c r="B68" s="436">
        <f t="shared" si="0"/>
        <v>56800</v>
      </c>
      <c r="C68" s="435">
        <v>64</v>
      </c>
      <c r="E68" s="436">
        <f t="shared" si="1"/>
        <v>404200</v>
      </c>
      <c r="F68" s="435">
        <v>64</v>
      </c>
    </row>
    <row r="69" spans="2:6" s="5" customFormat="1" ht="12.75" customHeight="1">
      <c r="B69" s="436">
        <f t="shared" si="0"/>
        <v>58500</v>
      </c>
      <c r="C69" s="435">
        <v>65</v>
      </c>
      <c r="E69" s="436">
        <f t="shared" si="1"/>
        <v>417000</v>
      </c>
      <c r="F69" s="435">
        <v>65</v>
      </c>
    </row>
    <row r="70" spans="2:6" s="5" customFormat="1" ht="12.75" customHeight="1">
      <c r="B70" s="436">
        <f t="shared" si="0"/>
        <v>60225</v>
      </c>
      <c r="C70" s="435">
        <v>66</v>
      </c>
      <c r="E70" s="436">
        <f t="shared" si="1"/>
        <v>430000</v>
      </c>
      <c r="F70" s="435">
        <v>66</v>
      </c>
    </row>
    <row r="71" spans="2:6" s="5" customFormat="1" ht="12.75" customHeight="1">
      <c r="B71" s="436">
        <f aca="true" t="shared" si="2" ref="B71:B134">(B70-B69)+25+B70</f>
        <v>61975</v>
      </c>
      <c r="C71" s="435">
        <v>67</v>
      </c>
      <c r="E71" s="436">
        <f t="shared" si="1"/>
        <v>443200</v>
      </c>
      <c r="F71" s="435">
        <v>67</v>
      </c>
    </row>
    <row r="72" spans="2:6" s="5" customFormat="1" ht="12.75" customHeight="1">
      <c r="B72" s="436">
        <f t="shared" si="2"/>
        <v>63750</v>
      </c>
      <c r="C72" s="435">
        <v>68</v>
      </c>
      <c r="E72" s="436">
        <f t="shared" si="1"/>
        <v>456600</v>
      </c>
      <c r="F72" s="435">
        <v>68</v>
      </c>
    </row>
    <row r="73" spans="2:6" s="5" customFormat="1" ht="12.75" customHeight="1">
      <c r="B73" s="436">
        <f t="shared" si="2"/>
        <v>65550</v>
      </c>
      <c r="C73" s="435">
        <v>69</v>
      </c>
      <c r="E73" s="436">
        <f t="shared" si="1"/>
        <v>470200</v>
      </c>
      <c r="F73" s="435">
        <v>69</v>
      </c>
    </row>
    <row r="74" spans="2:6" s="5" customFormat="1" ht="12.75" customHeight="1">
      <c r="B74" s="436">
        <f t="shared" si="2"/>
        <v>67375</v>
      </c>
      <c r="C74" s="435">
        <v>70</v>
      </c>
      <c r="E74" s="436">
        <f t="shared" si="1"/>
        <v>484000</v>
      </c>
      <c r="F74" s="435">
        <v>70</v>
      </c>
    </row>
    <row r="75" spans="2:6" s="5" customFormat="1" ht="12.75" customHeight="1">
      <c r="B75" s="436">
        <f t="shared" si="2"/>
        <v>69225</v>
      </c>
      <c r="C75" s="435">
        <v>71</v>
      </c>
      <c r="E75" s="436">
        <f aca="true" t="shared" si="3" ref="E75:E138">(E74-E73)+200+E74</f>
        <v>498000</v>
      </c>
      <c r="F75" s="435">
        <v>71</v>
      </c>
    </row>
    <row r="76" spans="2:6" s="5" customFormat="1" ht="12.75" customHeight="1">
      <c r="B76" s="436">
        <f t="shared" si="2"/>
        <v>71100</v>
      </c>
      <c r="C76" s="435">
        <v>72</v>
      </c>
      <c r="E76" s="436">
        <f t="shared" si="3"/>
        <v>512200</v>
      </c>
      <c r="F76" s="435">
        <v>72</v>
      </c>
    </row>
    <row r="77" spans="2:6" s="5" customFormat="1" ht="12.75" customHeight="1">
      <c r="B77" s="436">
        <f t="shared" si="2"/>
        <v>73000</v>
      </c>
      <c r="C77" s="435">
        <v>73</v>
      </c>
      <c r="E77" s="436">
        <f t="shared" si="3"/>
        <v>526600</v>
      </c>
      <c r="F77" s="435">
        <v>73</v>
      </c>
    </row>
    <row r="78" spans="2:6" s="5" customFormat="1" ht="12.75" customHeight="1">
      <c r="B78" s="436">
        <f t="shared" si="2"/>
        <v>74925</v>
      </c>
      <c r="C78" s="435">
        <v>74</v>
      </c>
      <c r="E78" s="436">
        <f t="shared" si="3"/>
        <v>541200</v>
      </c>
      <c r="F78" s="435">
        <v>74</v>
      </c>
    </row>
    <row r="79" spans="2:6" s="5" customFormat="1" ht="12.75" customHeight="1">
      <c r="B79" s="436">
        <f t="shared" si="2"/>
        <v>76875</v>
      </c>
      <c r="C79" s="435">
        <v>75</v>
      </c>
      <c r="E79" s="436">
        <f t="shared" si="3"/>
        <v>556000</v>
      </c>
      <c r="F79" s="435">
        <v>75</v>
      </c>
    </row>
    <row r="80" spans="2:6" s="5" customFormat="1" ht="12.75" customHeight="1">
      <c r="B80" s="436">
        <f t="shared" si="2"/>
        <v>78850</v>
      </c>
      <c r="C80" s="435">
        <v>76</v>
      </c>
      <c r="E80" s="436">
        <f t="shared" si="3"/>
        <v>571000</v>
      </c>
      <c r="F80" s="435">
        <v>76</v>
      </c>
    </row>
    <row r="81" spans="2:6" s="5" customFormat="1" ht="12.75" customHeight="1">
      <c r="B81" s="436">
        <f t="shared" si="2"/>
        <v>80850</v>
      </c>
      <c r="C81" s="435">
        <v>77</v>
      </c>
      <c r="E81" s="436">
        <f t="shared" si="3"/>
        <v>586200</v>
      </c>
      <c r="F81" s="435">
        <v>77</v>
      </c>
    </row>
    <row r="82" spans="2:6" s="5" customFormat="1" ht="12.75" customHeight="1">
      <c r="B82" s="436">
        <f t="shared" si="2"/>
        <v>82875</v>
      </c>
      <c r="C82" s="435">
        <v>78</v>
      </c>
      <c r="E82" s="436">
        <f t="shared" si="3"/>
        <v>601600</v>
      </c>
      <c r="F82" s="435">
        <v>78</v>
      </c>
    </row>
    <row r="83" spans="2:6" s="5" customFormat="1" ht="12.75" customHeight="1">
      <c r="B83" s="436">
        <f t="shared" si="2"/>
        <v>84925</v>
      </c>
      <c r="C83" s="435">
        <v>79</v>
      </c>
      <c r="E83" s="436">
        <f t="shared" si="3"/>
        <v>617200</v>
      </c>
      <c r="F83" s="435">
        <v>79</v>
      </c>
    </row>
    <row r="84" spans="2:6" s="5" customFormat="1" ht="12.75" customHeight="1">
      <c r="B84" s="436">
        <f t="shared" si="2"/>
        <v>87000</v>
      </c>
      <c r="C84" s="435">
        <v>80</v>
      </c>
      <c r="E84" s="436">
        <f t="shared" si="3"/>
        <v>633000</v>
      </c>
      <c r="F84" s="435">
        <v>80</v>
      </c>
    </row>
    <row r="85" spans="2:6" s="5" customFormat="1" ht="12.75" customHeight="1">
      <c r="B85" s="436">
        <f t="shared" si="2"/>
        <v>89100</v>
      </c>
      <c r="C85" s="435">
        <v>81</v>
      </c>
      <c r="E85" s="436">
        <f t="shared" si="3"/>
        <v>649000</v>
      </c>
      <c r="F85" s="435">
        <v>81</v>
      </c>
    </row>
    <row r="86" spans="2:6" s="5" customFormat="1" ht="12.75" customHeight="1">
      <c r="B86" s="436">
        <f t="shared" si="2"/>
        <v>91225</v>
      </c>
      <c r="C86" s="435">
        <v>82</v>
      </c>
      <c r="E86" s="436">
        <f t="shared" si="3"/>
        <v>665200</v>
      </c>
      <c r="F86" s="435">
        <v>82</v>
      </c>
    </row>
    <row r="87" spans="2:6" s="5" customFormat="1" ht="12.75" customHeight="1">
      <c r="B87" s="436">
        <f t="shared" si="2"/>
        <v>93375</v>
      </c>
      <c r="C87" s="435">
        <v>83</v>
      </c>
      <c r="E87" s="436">
        <f t="shared" si="3"/>
        <v>681600</v>
      </c>
      <c r="F87" s="435">
        <v>83</v>
      </c>
    </row>
    <row r="88" spans="2:6" s="5" customFormat="1" ht="12.75" customHeight="1">
      <c r="B88" s="436">
        <f t="shared" si="2"/>
        <v>95550</v>
      </c>
      <c r="C88" s="435">
        <v>84</v>
      </c>
      <c r="E88" s="436">
        <f t="shared" si="3"/>
        <v>698200</v>
      </c>
      <c r="F88" s="435">
        <v>84</v>
      </c>
    </row>
    <row r="89" spans="2:6" s="5" customFormat="1" ht="12.75" customHeight="1">
      <c r="B89" s="436">
        <f t="shared" si="2"/>
        <v>97750</v>
      </c>
      <c r="C89" s="435">
        <v>85</v>
      </c>
      <c r="E89" s="436">
        <f t="shared" si="3"/>
        <v>715000</v>
      </c>
      <c r="F89" s="435">
        <v>85</v>
      </c>
    </row>
    <row r="90" spans="2:6" s="5" customFormat="1" ht="12.75" customHeight="1">
      <c r="B90" s="436">
        <f t="shared" si="2"/>
        <v>99975</v>
      </c>
      <c r="C90" s="435">
        <v>86</v>
      </c>
      <c r="E90" s="436">
        <f t="shared" si="3"/>
        <v>732000</v>
      </c>
      <c r="F90" s="435">
        <v>86</v>
      </c>
    </row>
    <row r="91" spans="2:6" s="5" customFormat="1" ht="12.75" customHeight="1">
      <c r="B91" s="436">
        <f t="shared" si="2"/>
        <v>102225</v>
      </c>
      <c r="C91" s="435">
        <v>87</v>
      </c>
      <c r="E91" s="436">
        <f t="shared" si="3"/>
        <v>749200</v>
      </c>
      <c r="F91" s="435">
        <v>87</v>
      </c>
    </row>
    <row r="92" spans="2:6" s="5" customFormat="1" ht="12.75" customHeight="1">
      <c r="B92" s="436">
        <f t="shared" si="2"/>
        <v>104500</v>
      </c>
      <c r="C92" s="435">
        <v>88</v>
      </c>
      <c r="E92" s="436">
        <f t="shared" si="3"/>
        <v>766600</v>
      </c>
      <c r="F92" s="435">
        <v>88</v>
      </c>
    </row>
    <row r="93" spans="2:6" s="5" customFormat="1" ht="12.75" customHeight="1">
      <c r="B93" s="436">
        <f t="shared" si="2"/>
        <v>106800</v>
      </c>
      <c r="C93" s="435">
        <v>89</v>
      </c>
      <c r="E93" s="436">
        <f t="shared" si="3"/>
        <v>784200</v>
      </c>
      <c r="F93" s="435">
        <v>89</v>
      </c>
    </row>
    <row r="94" spans="2:6" s="5" customFormat="1" ht="12.75" customHeight="1">
      <c r="B94" s="436">
        <f t="shared" si="2"/>
        <v>109125</v>
      </c>
      <c r="C94" s="435">
        <v>90</v>
      </c>
      <c r="E94" s="436">
        <f t="shared" si="3"/>
        <v>802000</v>
      </c>
      <c r="F94" s="435">
        <v>90</v>
      </c>
    </row>
    <row r="95" spans="2:6" s="5" customFormat="1" ht="12.75" customHeight="1">
      <c r="B95" s="436">
        <f t="shared" si="2"/>
        <v>111475</v>
      </c>
      <c r="C95" s="435">
        <v>91</v>
      </c>
      <c r="E95" s="436">
        <f t="shared" si="3"/>
        <v>820000</v>
      </c>
      <c r="F95" s="435">
        <v>91</v>
      </c>
    </row>
    <row r="96" spans="2:6" s="5" customFormat="1" ht="12.75" customHeight="1">
      <c r="B96" s="436">
        <f t="shared" si="2"/>
        <v>113850</v>
      </c>
      <c r="C96" s="435">
        <v>92</v>
      </c>
      <c r="E96" s="436">
        <f t="shared" si="3"/>
        <v>838200</v>
      </c>
      <c r="F96" s="435">
        <v>92</v>
      </c>
    </row>
    <row r="97" spans="2:6" s="5" customFormat="1" ht="12.75" customHeight="1">
      <c r="B97" s="436">
        <f t="shared" si="2"/>
        <v>116250</v>
      </c>
      <c r="C97" s="435">
        <v>93</v>
      </c>
      <c r="E97" s="436">
        <f t="shared" si="3"/>
        <v>856600</v>
      </c>
      <c r="F97" s="435">
        <v>93</v>
      </c>
    </row>
    <row r="98" spans="2:6" s="5" customFormat="1" ht="12.75" customHeight="1">
      <c r="B98" s="436">
        <f t="shared" si="2"/>
        <v>118675</v>
      </c>
      <c r="C98" s="435">
        <v>94</v>
      </c>
      <c r="E98" s="436">
        <f t="shared" si="3"/>
        <v>875200</v>
      </c>
      <c r="F98" s="435">
        <v>94</v>
      </c>
    </row>
    <row r="99" spans="2:6" s="5" customFormat="1" ht="12.75" customHeight="1">
      <c r="B99" s="436">
        <f t="shared" si="2"/>
        <v>121125</v>
      </c>
      <c r="C99" s="435">
        <v>95</v>
      </c>
      <c r="E99" s="436">
        <f t="shared" si="3"/>
        <v>894000</v>
      </c>
      <c r="F99" s="435">
        <v>95</v>
      </c>
    </row>
    <row r="100" spans="2:6" s="5" customFormat="1" ht="12.75" customHeight="1">
      <c r="B100" s="436">
        <f t="shared" si="2"/>
        <v>123600</v>
      </c>
      <c r="C100" s="435">
        <v>96</v>
      </c>
      <c r="E100" s="436">
        <f t="shared" si="3"/>
        <v>913000</v>
      </c>
      <c r="F100" s="435">
        <v>96</v>
      </c>
    </row>
    <row r="101" spans="2:6" s="5" customFormat="1" ht="12.75" customHeight="1">
      <c r="B101" s="436">
        <f t="shared" si="2"/>
        <v>126100</v>
      </c>
      <c r="C101" s="435">
        <v>97</v>
      </c>
      <c r="E101" s="436">
        <f t="shared" si="3"/>
        <v>932200</v>
      </c>
      <c r="F101" s="435">
        <v>97</v>
      </c>
    </row>
    <row r="102" spans="2:6" s="5" customFormat="1" ht="12.75" customHeight="1">
      <c r="B102" s="436">
        <f t="shared" si="2"/>
        <v>128625</v>
      </c>
      <c r="C102" s="435">
        <v>98</v>
      </c>
      <c r="E102" s="436">
        <f t="shared" si="3"/>
        <v>951600</v>
      </c>
      <c r="F102" s="435">
        <v>98</v>
      </c>
    </row>
    <row r="103" spans="2:6" s="5" customFormat="1" ht="12.75" customHeight="1">
      <c r="B103" s="436">
        <f t="shared" si="2"/>
        <v>131175</v>
      </c>
      <c r="C103" s="435">
        <v>99</v>
      </c>
      <c r="E103" s="436">
        <f t="shared" si="3"/>
        <v>971200</v>
      </c>
      <c r="F103" s="435">
        <v>99</v>
      </c>
    </row>
    <row r="104" spans="2:6" s="5" customFormat="1" ht="12.75" customHeight="1">
      <c r="B104" s="436">
        <f t="shared" si="2"/>
        <v>133750</v>
      </c>
      <c r="C104" s="435">
        <v>100</v>
      </c>
      <c r="E104" s="436">
        <f t="shared" si="3"/>
        <v>991000</v>
      </c>
      <c r="F104" s="435">
        <v>100</v>
      </c>
    </row>
    <row r="105" spans="2:6" s="5" customFormat="1" ht="12.75" customHeight="1">
      <c r="B105" s="436">
        <f t="shared" si="2"/>
        <v>136350</v>
      </c>
      <c r="C105" s="435">
        <v>101</v>
      </c>
      <c r="E105" s="436">
        <f t="shared" si="3"/>
        <v>1011000</v>
      </c>
      <c r="F105" s="435">
        <v>101</v>
      </c>
    </row>
    <row r="106" spans="2:6" s="5" customFormat="1" ht="12.75" customHeight="1">
      <c r="B106" s="436">
        <f t="shared" si="2"/>
        <v>138975</v>
      </c>
      <c r="C106" s="435">
        <v>102</v>
      </c>
      <c r="E106" s="436">
        <f t="shared" si="3"/>
        <v>1031200</v>
      </c>
      <c r="F106" s="435">
        <v>102</v>
      </c>
    </row>
    <row r="107" spans="2:6" s="5" customFormat="1" ht="12.75" customHeight="1">
      <c r="B107" s="436">
        <f t="shared" si="2"/>
        <v>141625</v>
      </c>
      <c r="C107" s="435">
        <v>103</v>
      </c>
      <c r="E107" s="436">
        <f t="shared" si="3"/>
        <v>1051600</v>
      </c>
      <c r="F107" s="435">
        <v>103</v>
      </c>
    </row>
    <row r="108" spans="2:6" s="5" customFormat="1" ht="12.75" customHeight="1">
      <c r="B108" s="436">
        <f t="shared" si="2"/>
        <v>144300</v>
      </c>
      <c r="C108" s="435">
        <v>104</v>
      </c>
      <c r="E108" s="436">
        <f t="shared" si="3"/>
        <v>1072200</v>
      </c>
      <c r="F108" s="435">
        <v>104</v>
      </c>
    </row>
    <row r="109" spans="2:6" s="5" customFormat="1" ht="12.75" customHeight="1">
      <c r="B109" s="436">
        <f t="shared" si="2"/>
        <v>147000</v>
      </c>
      <c r="C109" s="435">
        <v>105</v>
      </c>
      <c r="E109" s="436">
        <f t="shared" si="3"/>
        <v>1093000</v>
      </c>
      <c r="F109" s="435">
        <v>105</v>
      </c>
    </row>
    <row r="110" spans="2:6" s="5" customFormat="1" ht="12.75" customHeight="1">
      <c r="B110" s="436">
        <f t="shared" si="2"/>
        <v>149725</v>
      </c>
      <c r="C110" s="435">
        <v>106</v>
      </c>
      <c r="E110" s="436">
        <f t="shared" si="3"/>
        <v>1114000</v>
      </c>
      <c r="F110" s="435">
        <v>106</v>
      </c>
    </row>
    <row r="111" spans="2:6" s="5" customFormat="1" ht="12.75" customHeight="1">
      <c r="B111" s="436">
        <f t="shared" si="2"/>
        <v>152475</v>
      </c>
      <c r="C111" s="435">
        <v>107</v>
      </c>
      <c r="E111" s="436">
        <f t="shared" si="3"/>
        <v>1135200</v>
      </c>
      <c r="F111" s="435">
        <v>107</v>
      </c>
    </row>
    <row r="112" spans="2:6" s="5" customFormat="1" ht="12.75" customHeight="1">
      <c r="B112" s="436">
        <f t="shared" si="2"/>
        <v>155250</v>
      </c>
      <c r="C112" s="435">
        <v>108</v>
      </c>
      <c r="E112" s="436">
        <f t="shared" si="3"/>
        <v>1156600</v>
      </c>
      <c r="F112" s="435">
        <v>108</v>
      </c>
    </row>
    <row r="113" spans="2:6" s="5" customFormat="1" ht="12.75" customHeight="1">
      <c r="B113" s="436">
        <f t="shared" si="2"/>
        <v>158050</v>
      </c>
      <c r="C113" s="435">
        <v>109</v>
      </c>
      <c r="E113" s="436">
        <f t="shared" si="3"/>
        <v>1178200</v>
      </c>
      <c r="F113" s="435">
        <v>109</v>
      </c>
    </row>
    <row r="114" spans="2:6" s="5" customFormat="1" ht="12.75" customHeight="1">
      <c r="B114" s="436">
        <f t="shared" si="2"/>
        <v>160875</v>
      </c>
      <c r="C114" s="435">
        <v>110</v>
      </c>
      <c r="E114" s="436">
        <f t="shared" si="3"/>
        <v>1200000</v>
      </c>
      <c r="F114" s="435">
        <v>110</v>
      </c>
    </row>
    <row r="115" spans="2:6" s="5" customFormat="1" ht="12.75" customHeight="1">
      <c r="B115" s="436">
        <f t="shared" si="2"/>
        <v>163725</v>
      </c>
      <c r="C115" s="435">
        <v>111</v>
      </c>
      <c r="E115" s="436">
        <f t="shared" si="3"/>
        <v>1222000</v>
      </c>
      <c r="F115" s="435">
        <v>111</v>
      </c>
    </row>
    <row r="116" spans="2:6" s="5" customFormat="1" ht="12.75" customHeight="1">
      <c r="B116" s="436">
        <f t="shared" si="2"/>
        <v>166600</v>
      </c>
      <c r="C116" s="435">
        <v>112</v>
      </c>
      <c r="E116" s="436">
        <f t="shared" si="3"/>
        <v>1244200</v>
      </c>
      <c r="F116" s="435">
        <v>112</v>
      </c>
    </row>
    <row r="117" spans="2:6" s="5" customFormat="1" ht="12.75" customHeight="1">
      <c r="B117" s="436">
        <f t="shared" si="2"/>
        <v>169500</v>
      </c>
      <c r="C117" s="435">
        <v>113</v>
      </c>
      <c r="E117" s="436">
        <f t="shared" si="3"/>
        <v>1266600</v>
      </c>
      <c r="F117" s="435">
        <v>113</v>
      </c>
    </row>
    <row r="118" spans="2:6" s="5" customFormat="1" ht="12.75" customHeight="1">
      <c r="B118" s="436">
        <f t="shared" si="2"/>
        <v>172425</v>
      </c>
      <c r="C118" s="435">
        <v>114</v>
      </c>
      <c r="E118" s="436">
        <f t="shared" si="3"/>
        <v>1289200</v>
      </c>
      <c r="F118" s="435">
        <v>114</v>
      </c>
    </row>
    <row r="119" spans="2:6" s="5" customFormat="1" ht="12.75" customHeight="1">
      <c r="B119" s="436">
        <f t="shared" si="2"/>
        <v>175375</v>
      </c>
      <c r="C119" s="435">
        <v>115</v>
      </c>
      <c r="E119" s="436">
        <f t="shared" si="3"/>
        <v>1312000</v>
      </c>
      <c r="F119" s="435">
        <v>115</v>
      </c>
    </row>
    <row r="120" spans="2:6" s="5" customFormat="1" ht="12.75" customHeight="1">
      <c r="B120" s="436">
        <f t="shared" si="2"/>
        <v>178350</v>
      </c>
      <c r="C120" s="435">
        <v>116</v>
      </c>
      <c r="E120" s="436">
        <f t="shared" si="3"/>
        <v>1335000</v>
      </c>
      <c r="F120" s="435">
        <v>116</v>
      </c>
    </row>
    <row r="121" spans="2:6" s="5" customFormat="1" ht="12.75" customHeight="1">
      <c r="B121" s="436">
        <f t="shared" si="2"/>
        <v>181350</v>
      </c>
      <c r="C121" s="435">
        <v>117</v>
      </c>
      <c r="E121" s="436">
        <f t="shared" si="3"/>
        <v>1358200</v>
      </c>
      <c r="F121" s="435">
        <v>117</v>
      </c>
    </row>
    <row r="122" spans="2:6" s="5" customFormat="1" ht="12.75" customHeight="1">
      <c r="B122" s="436">
        <f t="shared" si="2"/>
        <v>184375</v>
      </c>
      <c r="C122" s="435">
        <v>118</v>
      </c>
      <c r="E122" s="436">
        <f t="shared" si="3"/>
        <v>1381600</v>
      </c>
      <c r="F122" s="435">
        <v>118</v>
      </c>
    </row>
    <row r="123" spans="2:6" s="5" customFormat="1" ht="12.75" customHeight="1">
      <c r="B123" s="436">
        <f t="shared" si="2"/>
        <v>187425</v>
      </c>
      <c r="C123" s="435">
        <v>119</v>
      </c>
      <c r="E123" s="436">
        <f t="shared" si="3"/>
        <v>1405200</v>
      </c>
      <c r="F123" s="435">
        <v>119</v>
      </c>
    </row>
    <row r="124" spans="2:6" s="5" customFormat="1" ht="12.75" customHeight="1">
      <c r="B124" s="436">
        <f t="shared" si="2"/>
        <v>190500</v>
      </c>
      <c r="C124" s="435">
        <v>120</v>
      </c>
      <c r="E124" s="436">
        <f t="shared" si="3"/>
        <v>1429000</v>
      </c>
      <c r="F124" s="435">
        <v>120</v>
      </c>
    </row>
    <row r="125" spans="2:6" s="5" customFormat="1" ht="12.75" customHeight="1">
      <c r="B125" s="436">
        <f t="shared" si="2"/>
        <v>193600</v>
      </c>
      <c r="C125" s="435">
        <v>121</v>
      </c>
      <c r="E125" s="436">
        <f t="shared" si="3"/>
        <v>1453000</v>
      </c>
      <c r="F125" s="435">
        <v>121</v>
      </c>
    </row>
    <row r="126" spans="2:6" s="5" customFormat="1" ht="12.75" customHeight="1">
      <c r="B126" s="436">
        <f t="shared" si="2"/>
        <v>196725</v>
      </c>
      <c r="C126" s="435">
        <v>122</v>
      </c>
      <c r="E126" s="436">
        <f t="shared" si="3"/>
        <v>1477200</v>
      </c>
      <c r="F126" s="435">
        <v>122</v>
      </c>
    </row>
    <row r="127" spans="2:6" s="5" customFormat="1" ht="12.75" customHeight="1">
      <c r="B127" s="436">
        <f t="shared" si="2"/>
        <v>199875</v>
      </c>
      <c r="C127" s="435">
        <v>123</v>
      </c>
      <c r="E127" s="436">
        <f t="shared" si="3"/>
        <v>1501600</v>
      </c>
      <c r="F127" s="435">
        <v>123</v>
      </c>
    </row>
    <row r="128" spans="2:6" s="5" customFormat="1" ht="12.75" customHeight="1">
      <c r="B128" s="436">
        <f t="shared" si="2"/>
        <v>203050</v>
      </c>
      <c r="C128" s="435">
        <v>124</v>
      </c>
      <c r="E128" s="436">
        <f t="shared" si="3"/>
        <v>1526200</v>
      </c>
      <c r="F128" s="435">
        <v>124</v>
      </c>
    </row>
    <row r="129" spans="2:6" s="5" customFormat="1" ht="12.75" customHeight="1">
      <c r="B129" s="436">
        <f t="shared" si="2"/>
        <v>206250</v>
      </c>
      <c r="C129" s="435">
        <v>125</v>
      </c>
      <c r="E129" s="436">
        <f t="shared" si="3"/>
        <v>1551000</v>
      </c>
      <c r="F129" s="435">
        <v>125</v>
      </c>
    </row>
    <row r="130" spans="2:6" s="5" customFormat="1" ht="12.75" customHeight="1">
      <c r="B130" s="436">
        <f t="shared" si="2"/>
        <v>209475</v>
      </c>
      <c r="C130" s="435">
        <v>126</v>
      </c>
      <c r="E130" s="436">
        <f t="shared" si="3"/>
        <v>1576000</v>
      </c>
      <c r="F130" s="435">
        <v>126</v>
      </c>
    </row>
    <row r="131" spans="2:6" s="5" customFormat="1" ht="12.75" customHeight="1">
      <c r="B131" s="436">
        <f t="shared" si="2"/>
        <v>212725</v>
      </c>
      <c r="C131" s="435">
        <v>127</v>
      </c>
      <c r="E131" s="436">
        <f t="shared" si="3"/>
        <v>1601200</v>
      </c>
      <c r="F131" s="435">
        <v>127</v>
      </c>
    </row>
    <row r="132" spans="2:6" s="5" customFormat="1" ht="12.75" customHeight="1">
      <c r="B132" s="436">
        <f t="shared" si="2"/>
        <v>216000</v>
      </c>
      <c r="C132" s="435">
        <v>128</v>
      </c>
      <c r="E132" s="436">
        <f t="shared" si="3"/>
        <v>1626600</v>
      </c>
      <c r="F132" s="435">
        <v>128</v>
      </c>
    </row>
    <row r="133" spans="2:6" s="5" customFormat="1" ht="12.75" customHeight="1">
      <c r="B133" s="436">
        <f t="shared" si="2"/>
        <v>219300</v>
      </c>
      <c r="C133" s="435">
        <v>129</v>
      </c>
      <c r="E133" s="436">
        <f t="shared" si="3"/>
        <v>1652200</v>
      </c>
      <c r="F133" s="435">
        <v>129</v>
      </c>
    </row>
    <row r="134" spans="2:6" s="5" customFormat="1" ht="12.75" customHeight="1">
      <c r="B134" s="436">
        <f t="shared" si="2"/>
        <v>222625</v>
      </c>
      <c r="C134" s="435">
        <v>130</v>
      </c>
      <c r="E134" s="436">
        <f t="shared" si="3"/>
        <v>1678000</v>
      </c>
      <c r="F134" s="435">
        <v>130</v>
      </c>
    </row>
    <row r="135" spans="2:6" s="5" customFormat="1" ht="12.75" customHeight="1">
      <c r="B135" s="436">
        <f aca="true" t="shared" si="4" ref="B135:B198">(B134-B133)+25+B134</f>
        <v>225975</v>
      </c>
      <c r="C135" s="435">
        <v>131</v>
      </c>
      <c r="E135" s="436">
        <f t="shared" si="3"/>
        <v>1704000</v>
      </c>
      <c r="F135" s="435">
        <v>131</v>
      </c>
    </row>
    <row r="136" spans="2:6" ht="12.75" customHeight="1">
      <c r="B136" s="436">
        <f t="shared" si="4"/>
        <v>229350</v>
      </c>
      <c r="C136" s="435">
        <v>132</v>
      </c>
      <c r="E136" s="436">
        <f t="shared" si="3"/>
        <v>1730200</v>
      </c>
      <c r="F136" s="435">
        <v>132</v>
      </c>
    </row>
    <row r="137" spans="2:6" ht="12.75" customHeight="1">
      <c r="B137" s="436">
        <f t="shared" si="4"/>
        <v>232750</v>
      </c>
      <c r="C137" s="435">
        <v>133</v>
      </c>
      <c r="E137" s="436">
        <f t="shared" si="3"/>
        <v>1756600</v>
      </c>
      <c r="F137" s="435">
        <v>133</v>
      </c>
    </row>
    <row r="138" spans="2:6" ht="12.75" customHeight="1">
      <c r="B138" s="436">
        <f t="shared" si="4"/>
        <v>236175</v>
      </c>
      <c r="C138" s="435">
        <v>134</v>
      </c>
      <c r="E138" s="436">
        <f t="shared" si="3"/>
        <v>1783200</v>
      </c>
      <c r="F138" s="435">
        <v>134</v>
      </c>
    </row>
    <row r="139" spans="2:6" ht="12.75" customHeight="1">
      <c r="B139" s="436">
        <f t="shared" si="4"/>
        <v>239625</v>
      </c>
      <c r="C139" s="435">
        <v>135</v>
      </c>
      <c r="E139" s="436">
        <f aca="true" t="shared" si="5" ref="E139:E202">(E138-E137)+200+E138</f>
        <v>1810000</v>
      </c>
      <c r="F139" s="435">
        <v>135</v>
      </c>
    </row>
    <row r="140" spans="2:6" ht="12.75" customHeight="1">
      <c r="B140" s="436">
        <f t="shared" si="4"/>
        <v>243100</v>
      </c>
      <c r="C140" s="435">
        <v>136</v>
      </c>
      <c r="E140" s="436">
        <f t="shared" si="5"/>
        <v>1837000</v>
      </c>
      <c r="F140" s="435">
        <v>136</v>
      </c>
    </row>
    <row r="141" spans="2:6" ht="12.75" customHeight="1">
      <c r="B141" s="436">
        <f t="shared" si="4"/>
        <v>246600</v>
      </c>
      <c r="C141" s="435">
        <v>137</v>
      </c>
      <c r="E141" s="436">
        <f t="shared" si="5"/>
        <v>1864200</v>
      </c>
      <c r="F141" s="435">
        <v>137</v>
      </c>
    </row>
    <row r="142" spans="2:6" ht="12.75" customHeight="1">
      <c r="B142" s="436">
        <f t="shared" si="4"/>
        <v>250125</v>
      </c>
      <c r="C142" s="435">
        <v>138</v>
      </c>
      <c r="E142" s="436">
        <f t="shared" si="5"/>
        <v>1891600</v>
      </c>
      <c r="F142" s="435">
        <v>138</v>
      </c>
    </row>
    <row r="143" spans="2:6" ht="12.75" customHeight="1">
      <c r="B143" s="436">
        <f t="shared" si="4"/>
        <v>253675</v>
      </c>
      <c r="C143" s="435">
        <v>139</v>
      </c>
      <c r="E143" s="436">
        <f t="shared" si="5"/>
        <v>1919200</v>
      </c>
      <c r="F143" s="435">
        <v>139</v>
      </c>
    </row>
    <row r="144" spans="2:6" ht="12.75" customHeight="1">
      <c r="B144" s="436">
        <f t="shared" si="4"/>
        <v>257250</v>
      </c>
      <c r="C144" s="435">
        <v>140</v>
      </c>
      <c r="E144" s="436">
        <f t="shared" si="5"/>
        <v>1947000</v>
      </c>
      <c r="F144" s="435">
        <v>140</v>
      </c>
    </row>
    <row r="145" spans="2:6" ht="12.75" customHeight="1">
      <c r="B145" s="436">
        <f t="shared" si="4"/>
        <v>260850</v>
      </c>
      <c r="C145" s="435">
        <v>141</v>
      </c>
      <c r="E145" s="436">
        <f t="shared" si="5"/>
        <v>1975000</v>
      </c>
      <c r="F145" s="435">
        <v>141</v>
      </c>
    </row>
    <row r="146" spans="2:6" ht="12.75" customHeight="1">
      <c r="B146" s="436">
        <f t="shared" si="4"/>
        <v>264475</v>
      </c>
      <c r="C146" s="435">
        <v>142</v>
      </c>
      <c r="E146" s="436">
        <f t="shared" si="5"/>
        <v>2003200</v>
      </c>
      <c r="F146" s="435">
        <v>142</v>
      </c>
    </row>
    <row r="147" spans="2:6" ht="12.75" customHeight="1">
      <c r="B147" s="436">
        <f t="shared" si="4"/>
        <v>268125</v>
      </c>
      <c r="C147" s="435">
        <v>143</v>
      </c>
      <c r="E147" s="436">
        <f t="shared" si="5"/>
        <v>2031600</v>
      </c>
      <c r="F147" s="435">
        <v>143</v>
      </c>
    </row>
    <row r="148" spans="2:6" ht="12.75" customHeight="1">
      <c r="B148" s="436">
        <f t="shared" si="4"/>
        <v>271800</v>
      </c>
      <c r="C148" s="435">
        <v>144</v>
      </c>
      <c r="E148" s="436">
        <f t="shared" si="5"/>
        <v>2060200</v>
      </c>
      <c r="F148" s="435">
        <v>144</v>
      </c>
    </row>
    <row r="149" spans="2:6" ht="12.75" customHeight="1">
      <c r="B149" s="436">
        <f t="shared" si="4"/>
        <v>275500</v>
      </c>
      <c r="C149" s="435">
        <v>145</v>
      </c>
      <c r="E149" s="436">
        <f t="shared" si="5"/>
        <v>2089000</v>
      </c>
      <c r="F149" s="435">
        <v>145</v>
      </c>
    </row>
    <row r="150" spans="2:6" ht="12.75" customHeight="1">
      <c r="B150" s="436">
        <f t="shared" si="4"/>
        <v>279225</v>
      </c>
      <c r="C150" s="435">
        <v>146</v>
      </c>
      <c r="E150" s="436">
        <f t="shared" si="5"/>
        <v>2118000</v>
      </c>
      <c r="F150" s="435">
        <v>146</v>
      </c>
    </row>
    <row r="151" spans="2:6" ht="12.75" customHeight="1">
      <c r="B151" s="436">
        <f t="shared" si="4"/>
        <v>282975</v>
      </c>
      <c r="C151" s="435">
        <v>147</v>
      </c>
      <c r="E151" s="436">
        <f t="shared" si="5"/>
        <v>2147200</v>
      </c>
      <c r="F151" s="435">
        <v>147</v>
      </c>
    </row>
    <row r="152" spans="2:6" ht="12.75" customHeight="1">
      <c r="B152" s="436">
        <f t="shared" si="4"/>
        <v>286750</v>
      </c>
      <c r="C152" s="435">
        <v>148</v>
      </c>
      <c r="E152" s="436">
        <f t="shared" si="5"/>
        <v>2176600</v>
      </c>
      <c r="F152" s="435">
        <v>148</v>
      </c>
    </row>
    <row r="153" spans="2:6" ht="12.75" customHeight="1">
      <c r="B153" s="436">
        <f t="shared" si="4"/>
        <v>290550</v>
      </c>
      <c r="C153" s="435">
        <v>149</v>
      </c>
      <c r="E153" s="436">
        <f t="shared" si="5"/>
        <v>2206200</v>
      </c>
      <c r="F153" s="435">
        <v>149</v>
      </c>
    </row>
    <row r="154" spans="2:6" ht="12.75" customHeight="1">
      <c r="B154" s="436">
        <f t="shared" si="4"/>
        <v>294375</v>
      </c>
      <c r="C154" s="435">
        <v>150</v>
      </c>
      <c r="E154" s="436">
        <f t="shared" si="5"/>
        <v>2236000</v>
      </c>
      <c r="F154" s="435">
        <v>150</v>
      </c>
    </row>
    <row r="155" spans="2:6" ht="12.75" customHeight="1">
      <c r="B155" s="436">
        <f t="shared" si="4"/>
        <v>298225</v>
      </c>
      <c r="C155" s="435">
        <v>151</v>
      </c>
      <c r="E155" s="436">
        <f t="shared" si="5"/>
        <v>2266000</v>
      </c>
      <c r="F155" s="435">
        <v>151</v>
      </c>
    </row>
    <row r="156" spans="2:6" ht="12.75" customHeight="1">
      <c r="B156" s="436">
        <f t="shared" si="4"/>
        <v>302100</v>
      </c>
      <c r="C156" s="435">
        <v>152</v>
      </c>
      <c r="E156" s="436">
        <f t="shared" si="5"/>
        <v>2296200</v>
      </c>
      <c r="F156" s="435">
        <v>152</v>
      </c>
    </row>
    <row r="157" spans="2:6" ht="12.75" customHeight="1">
      <c r="B157" s="436">
        <f t="shared" si="4"/>
        <v>306000</v>
      </c>
      <c r="C157" s="435">
        <v>153</v>
      </c>
      <c r="E157" s="436">
        <f t="shared" si="5"/>
        <v>2326600</v>
      </c>
      <c r="F157" s="435">
        <v>153</v>
      </c>
    </row>
    <row r="158" spans="2:6" ht="12.75" customHeight="1">
      <c r="B158" s="436">
        <f t="shared" si="4"/>
        <v>309925</v>
      </c>
      <c r="C158" s="435">
        <v>154</v>
      </c>
      <c r="E158" s="436">
        <f t="shared" si="5"/>
        <v>2357200</v>
      </c>
      <c r="F158" s="435">
        <v>154</v>
      </c>
    </row>
    <row r="159" spans="2:6" ht="12.75" customHeight="1">
      <c r="B159" s="436">
        <f t="shared" si="4"/>
        <v>313875</v>
      </c>
      <c r="C159" s="435">
        <v>155</v>
      </c>
      <c r="E159" s="436">
        <f t="shared" si="5"/>
        <v>2388000</v>
      </c>
      <c r="F159" s="435">
        <v>155</v>
      </c>
    </row>
    <row r="160" spans="2:6" ht="12.75" customHeight="1">
      <c r="B160" s="436">
        <f t="shared" si="4"/>
        <v>317850</v>
      </c>
      <c r="C160" s="435">
        <v>156</v>
      </c>
      <c r="E160" s="436">
        <f t="shared" si="5"/>
        <v>2419000</v>
      </c>
      <c r="F160" s="435">
        <v>156</v>
      </c>
    </row>
    <row r="161" spans="2:6" ht="12.75" customHeight="1">
      <c r="B161" s="436">
        <f t="shared" si="4"/>
        <v>321850</v>
      </c>
      <c r="C161" s="435">
        <v>157</v>
      </c>
      <c r="E161" s="436">
        <f t="shared" si="5"/>
        <v>2450200</v>
      </c>
      <c r="F161" s="435">
        <v>157</v>
      </c>
    </row>
    <row r="162" spans="2:6" ht="12.75" customHeight="1">
      <c r="B162" s="436">
        <f t="shared" si="4"/>
        <v>325875</v>
      </c>
      <c r="C162" s="435">
        <v>158</v>
      </c>
      <c r="E162" s="436">
        <f t="shared" si="5"/>
        <v>2481600</v>
      </c>
      <c r="F162" s="435">
        <v>158</v>
      </c>
    </row>
    <row r="163" spans="2:6" ht="12.75" customHeight="1">
      <c r="B163" s="436">
        <f t="shared" si="4"/>
        <v>329925</v>
      </c>
      <c r="C163" s="435">
        <v>159</v>
      </c>
      <c r="E163" s="436">
        <f t="shared" si="5"/>
        <v>2513200</v>
      </c>
      <c r="F163" s="435">
        <v>159</v>
      </c>
    </row>
    <row r="164" spans="2:6" ht="12.75" customHeight="1">
      <c r="B164" s="436">
        <f t="shared" si="4"/>
        <v>334000</v>
      </c>
      <c r="C164" s="435">
        <v>160</v>
      </c>
      <c r="E164" s="436">
        <f t="shared" si="5"/>
        <v>2545000</v>
      </c>
      <c r="F164" s="435">
        <v>160</v>
      </c>
    </row>
    <row r="165" spans="2:6" ht="12.75" customHeight="1">
      <c r="B165" s="436">
        <f t="shared" si="4"/>
        <v>338100</v>
      </c>
      <c r="C165" s="435">
        <v>161</v>
      </c>
      <c r="E165" s="436">
        <f t="shared" si="5"/>
        <v>2577000</v>
      </c>
      <c r="F165" s="435">
        <v>161</v>
      </c>
    </row>
    <row r="166" spans="2:6" ht="12.75" customHeight="1">
      <c r="B166" s="436">
        <f t="shared" si="4"/>
        <v>342225</v>
      </c>
      <c r="C166" s="435">
        <v>162</v>
      </c>
      <c r="E166" s="436">
        <f t="shared" si="5"/>
        <v>2609200</v>
      </c>
      <c r="F166" s="435">
        <v>162</v>
      </c>
    </row>
    <row r="167" spans="2:6" ht="12.75" customHeight="1">
      <c r="B167" s="436">
        <f t="shared" si="4"/>
        <v>346375</v>
      </c>
      <c r="C167" s="435">
        <v>163</v>
      </c>
      <c r="E167" s="436">
        <f t="shared" si="5"/>
        <v>2641600</v>
      </c>
      <c r="F167" s="435">
        <v>163</v>
      </c>
    </row>
    <row r="168" spans="2:6" ht="12.75" customHeight="1">
      <c r="B168" s="436">
        <f t="shared" si="4"/>
        <v>350550</v>
      </c>
      <c r="C168" s="435">
        <v>164</v>
      </c>
      <c r="E168" s="436">
        <f t="shared" si="5"/>
        <v>2674200</v>
      </c>
      <c r="F168" s="435">
        <v>164</v>
      </c>
    </row>
    <row r="169" spans="2:6" ht="12.75" customHeight="1">
      <c r="B169" s="436">
        <f t="shared" si="4"/>
        <v>354750</v>
      </c>
      <c r="C169" s="435">
        <v>165</v>
      </c>
      <c r="E169" s="436">
        <f t="shared" si="5"/>
        <v>2707000</v>
      </c>
      <c r="F169" s="435">
        <v>165</v>
      </c>
    </row>
    <row r="170" spans="2:6" ht="12.75" customHeight="1">
      <c r="B170" s="436">
        <f t="shared" si="4"/>
        <v>358975</v>
      </c>
      <c r="C170" s="435">
        <v>166</v>
      </c>
      <c r="E170" s="436">
        <f t="shared" si="5"/>
        <v>2740000</v>
      </c>
      <c r="F170" s="435">
        <v>166</v>
      </c>
    </row>
    <row r="171" spans="2:6" ht="12.75" customHeight="1">
      <c r="B171" s="436">
        <f t="shared" si="4"/>
        <v>363225</v>
      </c>
      <c r="C171" s="435">
        <v>167</v>
      </c>
      <c r="E171" s="436">
        <f t="shared" si="5"/>
        <v>2773200</v>
      </c>
      <c r="F171" s="435">
        <v>167</v>
      </c>
    </row>
    <row r="172" spans="2:6" ht="12.75" customHeight="1">
      <c r="B172" s="436">
        <f t="shared" si="4"/>
        <v>367500</v>
      </c>
      <c r="C172" s="435">
        <v>168</v>
      </c>
      <c r="E172" s="436">
        <f t="shared" si="5"/>
        <v>2806600</v>
      </c>
      <c r="F172" s="435">
        <v>168</v>
      </c>
    </row>
    <row r="173" spans="2:6" ht="12.75" customHeight="1">
      <c r="B173" s="436">
        <f t="shared" si="4"/>
        <v>371800</v>
      </c>
      <c r="C173" s="435">
        <v>169</v>
      </c>
      <c r="E173" s="436">
        <f t="shared" si="5"/>
        <v>2840200</v>
      </c>
      <c r="F173" s="435">
        <v>169</v>
      </c>
    </row>
    <row r="174" spans="2:6" ht="12.75" customHeight="1">
      <c r="B174" s="436">
        <f t="shared" si="4"/>
        <v>376125</v>
      </c>
      <c r="C174" s="435">
        <v>170</v>
      </c>
      <c r="E174" s="436">
        <f t="shared" si="5"/>
        <v>2874000</v>
      </c>
      <c r="F174" s="435">
        <v>170</v>
      </c>
    </row>
    <row r="175" spans="2:6" ht="12.75" customHeight="1">
      <c r="B175" s="436">
        <f t="shared" si="4"/>
        <v>380475</v>
      </c>
      <c r="C175" s="435">
        <v>171</v>
      </c>
      <c r="E175" s="436">
        <f t="shared" si="5"/>
        <v>2908000</v>
      </c>
      <c r="F175" s="435">
        <v>171</v>
      </c>
    </row>
    <row r="176" spans="2:6" ht="12.75" customHeight="1">
      <c r="B176" s="436">
        <f t="shared" si="4"/>
        <v>384850</v>
      </c>
      <c r="C176" s="435">
        <v>172</v>
      </c>
      <c r="E176" s="436">
        <f t="shared" si="5"/>
        <v>2942200</v>
      </c>
      <c r="F176" s="435">
        <v>172</v>
      </c>
    </row>
    <row r="177" spans="2:6" ht="12.75" customHeight="1">
      <c r="B177" s="436">
        <f t="shared" si="4"/>
        <v>389250</v>
      </c>
      <c r="C177" s="435">
        <v>173</v>
      </c>
      <c r="E177" s="436">
        <f t="shared" si="5"/>
        <v>2976600</v>
      </c>
      <c r="F177" s="435">
        <v>173</v>
      </c>
    </row>
    <row r="178" spans="2:6" ht="12.75" customHeight="1">
      <c r="B178" s="436">
        <f t="shared" si="4"/>
        <v>393675</v>
      </c>
      <c r="C178" s="435">
        <v>174</v>
      </c>
      <c r="E178" s="436">
        <f t="shared" si="5"/>
        <v>3011200</v>
      </c>
      <c r="F178" s="435">
        <v>174</v>
      </c>
    </row>
    <row r="179" spans="2:6" ht="12.75" customHeight="1">
      <c r="B179" s="436">
        <f t="shared" si="4"/>
        <v>398125</v>
      </c>
      <c r="C179" s="435">
        <v>175</v>
      </c>
      <c r="E179" s="436">
        <f t="shared" si="5"/>
        <v>3046000</v>
      </c>
      <c r="F179" s="435">
        <v>175</v>
      </c>
    </row>
    <row r="180" spans="2:6" ht="12.75" customHeight="1">
      <c r="B180" s="436">
        <f t="shared" si="4"/>
        <v>402600</v>
      </c>
      <c r="C180" s="435">
        <v>176</v>
      </c>
      <c r="E180" s="436">
        <f t="shared" si="5"/>
        <v>3081000</v>
      </c>
      <c r="F180" s="435">
        <v>176</v>
      </c>
    </row>
    <row r="181" spans="2:6" ht="12.75" customHeight="1">
      <c r="B181" s="436">
        <f t="shared" si="4"/>
        <v>407100</v>
      </c>
      <c r="C181" s="435">
        <v>177</v>
      </c>
      <c r="E181" s="436">
        <f t="shared" si="5"/>
        <v>3116200</v>
      </c>
      <c r="F181" s="435">
        <v>177</v>
      </c>
    </row>
    <row r="182" spans="2:6" ht="12.75" customHeight="1">
      <c r="B182" s="436">
        <f t="shared" si="4"/>
        <v>411625</v>
      </c>
      <c r="C182" s="435">
        <v>178</v>
      </c>
      <c r="E182" s="436">
        <f t="shared" si="5"/>
        <v>3151600</v>
      </c>
      <c r="F182" s="435">
        <v>178</v>
      </c>
    </row>
    <row r="183" spans="2:6" ht="12.75" customHeight="1">
      <c r="B183" s="436">
        <f t="shared" si="4"/>
        <v>416175</v>
      </c>
      <c r="C183" s="435">
        <v>179</v>
      </c>
      <c r="E183" s="436">
        <f t="shared" si="5"/>
        <v>3187200</v>
      </c>
      <c r="F183" s="435">
        <v>179</v>
      </c>
    </row>
    <row r="184" spans="2:6" ht="12.75" customHeight="1">
      <c r="B184" s="436">
        <f t="shared" si="4"/>
        <v>420750</v>
      </c>
      <c r="C184" s="435">
        <v>180</v>
      </c>
      <c r="E184" s="436">
        <f t="shared" si="5"/>
        <v>3223000</v>
      </c>
      <c r="F184" s="435">
        <v>180</v>
      </c>
    </row>
    <row r="185" spans="2:6" ht="12.75" customHeight="1">
      <c r="B185" s="436">
        <f t="shared" si="4"/>
        <v>425350</v>
      </c>
      <c r="C185" s="435">
        <v>181</v>
      </c>
      <c r="E185" s="436">
        <f t="shared" si="5"/>
        <v>3259000</v>
      </c>
      <c r="F185" s="435">
        <v>181</v>
      </c>
    </row>
    <row r="186" spans="2:6" ht="12.75" customHeight="1">
      <c r="B186" s="436">
        <f t="shared" si="4"/>
        <v>429975</v>
      </c>
      <c r="C186" s="435">
        <v>182</v>
      </c>
      <c r="E186" s="436">
        <f t="shared" si="5"/>
        <v>3295200</v>
      </c>
      <c r="F186" s="435">
        <v>182</v>
      </c>
    </row>
    <row r="187" spans="2:6" ht="12.75" customHeight="1">
      <c r="B187" s="436">
        <f t="shared" si="4"/>
        <v>434625</v>
      </c>
      <c r="C187" s="435">
        <v>183</v>
      </c>
      <c r="E187" s="436">
        <f t="shared" si="5"/>
        <v>3331600</v>
      </c>
      <c r="F187" s="435">
        <v>183</v>
      </c>
    </row>
    <row r="188" spans="2:6" ht="12.75" customHeight="1">
      <c r="B188" s="436">
        <f t="shared" si="4"/>
        <v>439300</v>
      </c>
      <c r="C188" s="435">
        <v>184</v>
      </c>
      <c r="E188" s="436">
        <f t="shared" si="5"/>
        <v>3368200</v>
      </c>
      <c r="F188" s="435">
        <v>184</v>
      </c>
    </row>
    <row r="189" spans="2:6" ht="12.75" customHeight="1">
      <c r="B189" s="436">
        <f t="shared" si="4"/>
        <v>444000</v>
      </c>
      <c r="C189" s="435">
        <v>185</v>
      </c>
      <c r="E189" s="436">
        <f t="shared" si="5"/>
        <v>3405000</v>
      </c>
      <c r="F189" s="435">
        <v>185</v>
      </c>
    </row>
    <row r="190" spans="2:6" ht="12.75" customHeight="1">
      <c r="B190" s="436">
        <f t="shared" si="4"/>
        <v>448725</v>
      </c>
      <c r="C190" s="435">
        <v>186</v>
      </c>
      <c r="E190" s="436">
        <f t="shared" si="5"/>
        <v>3442000</v>
      </c>
      <c r="F190" s="435">
        <v>186</v>
      </c>
    </row>
    <row r="191" spans="2:6" ht="12.75" customHeight="1">
      <c r="B191" s="436">
        <f t="shared" si="4"/>
        <v>453475</v>
      </c>
      <c r="C191" s="435">
        <v>187</v>
      </c>
      <c r="E191" s="436">
        <f t="shared" si="5"/>
        <v>3479200</v>
      </c>
      <c r="F191" s="435">
        <v>187</v>
      </c>
    </row>
    <row r="192" spans="2:6" ht="12.75" customHeight="1">
      <c r="B192" s="436">
        <f t="shared" si="4"/>
        <v>458250</v>
      </c>
      <c r="C192" s="435">
        <v>188</v>
      </c>
      <c r="E192" s="436">
        <f t="shared" si="5"/>
        <v>3516600</v>
      </c>
      <c r="F192" s="435">
        <v>188</v>
      </c>
    </row>
    <row r="193" spans="2:6" ht="12.75" customHeight="1">
      <c r="B193" s="436">
        <f t="shared" si="4"/>
        <v>463050</v>
      </c>
      <c r="C193" s="435">
        <v>189</v>
      </c>
      <c r="E193" s="436">
        <f t="shared" si="5"/>
        <v>3554200</v>
      </c>
      <c r="F193" s="435">
        <v>189</v>
      </c>
    </row>
    <row r="194" spans="2:6" ht="12.75" customHeight="1">
      <c r="B194" s="436">
        <f t="shared" si="4"/>
        <v>467875</v>
      </c>
      <c r="C194" s="435">
        <v>190</v>
      </c>
      <c r="E194" s="436">
        <f t="shared" si="5"/>
        <v>3592000</v>
      </c>
      <c r="F194" s="435">
        <v>190</v>
      </c>
    </row>
    <row r="195" spans="2:6" ht="12.75" customHeight="1">
      <c r="B195" s="436">
        <f t="shared" si="4"/>
        <v>472725</v>
      </c>
      <c r="C195" s="435">
        <v>191</v>
      </c>
      <c r="E195" s="436">
        <f t="shared" si="5"/>
        <v>3630000</v>
      </c>
      <c r="F195" s="435">
        <v>191</v>
      </c>
    </row>
    <row r="196" spans="2:6" ht="12.75" customHeight="1">
      <c r="B196" s="436">
        <f t="shared" si="4"/>
        <v>477600</v>
      </c>
      <c r="C196" s="435">
        <v>192</v>
      </c>
      <c r="E196" s="436">
        <f t="shared" si="5"/>
        <v>3668200</v>
      </c>
      <c r="F196" s="435">
        <v>192</v>
      </c>
    </row>
    <row r="197" spans="2:6" ht="12.75" customHeight="1">
      <c r="B197" s="436">
        <f t="shared" si="4"/>
        <v>482500</v>
      </c>
      <c r="C197" s="435">
        <v>193</v>
      </c>
      <c r="E197" s="436">
        <f t="shared" si="5"/>
        <v>3706600</v>
      </c>
      <c r="F197" s="435">
        <v>193</v>
      </c>
    </row>
    <row r="198" spans="2:6" ht="12.75" customHeight="1">
      <c r="B198" s="436">
        <f t="shared" si="4"/>
        <v>487425</v>
      </c>
      <c r="C198" s="435">
        <v>194</v>
      </c>
      <c r="E198" s="436">
        <f t="shared" si="5"/>
        <v>3745200</v>
      </c>
      <c r="F198" s="435">
        <v>194</v>
      </c>
    </row>
    <row r="199" spans="2:6" ht="12.75" customHeight="1">
      <c r="B199" s="436">
        <f aca="true" t="shared" si="6" ref="B199:B204">(B198-B197)+25+B198</f>
        <v>492375</v>
      </c>
      <c r="C199" s="435">
        <v>195</v>
      </c>
      <c r="E199" s="436">
        <f t="shared" si="5"/>
        <v>3784000</v>
      </c>
      <c r="F199" s="435">
        <v>195</v>
      </c>
    </row>
    <row r="200" spans="2:6" ht="12.75" customHeight="1">
      <c r="B200" s="436">
        <f t="shared" si="6"/>
        <v>497350</v>
      </c>
      <c r="C200" s="435">
        <v>196</v>
      </c>
      <c r="E200" s="436">
        <f t="shared" si="5"/>
        <v>3823000</v>
      </c>
      <c r="F200" s="435">
        <v>196</v>
      </c>
    </row>
    <row r="201" spans="2:6" ht="12.75" customHeight="1">
      <c r="B201" s="436">
        <f t="shared" si="6"/>
        <v>502350</v>
      </c>
      <c r="C201" s="435">
        <v>197</v>
      </c>
      <c r="E201" s="436">
        <f t="shared" si="5"/>
        <v>3862200</v>
      </c>
      <c r="F201" s="435">
        <v>197</v>
      </c>
    </row>
    <row r="202" spans="2:6" ht="12.75" customHeight="1">
      <c r="B202" s="436">
        <f t="shared" si="6"/>
        <v>507375</v>
      </c>
      <c r="C202" s="435">
        <v>198</v>
      </c>
      <c r="E202" s="436">
        <f t="shared" si="5"/>
        <v>3901600</v>
      </c>
      <c r="F202" s="435">
        <v>198</v>
      </c>
    </row>
    <row r="203" spans="2:6" ht="12.75" customHeight="1">
      <c r="B203" s="436">
        <f t="shared" si="6"/>
        <v>512425</v>
      </c>
      <c r="C203" s="435">
        <v>199</v>
      </c>
      <c r="E203" s="436">
        <f>(E202-E201)+200+E202</f>
        <v>3941200</v>
      </c>
      <c r="F203" s="435">
        <v>199</v>
      </c>
    </row>
    <row r="204" spans="2:6" ht="12.75" customHeight="1">
      <c r="B204" s="437">
        <f t="shared" si="6"/>
        <v>517500</v>
      </c>
      <c r="C204" s="438">
        <v>200</v>
      </c>
      <c r="E204" s="437">
        <f>(E203-E202)+200+E203</f>
        <v>3981000</v>
      </c>
      <c r="F204" s="438">
        <v>200</v>
      </c>
    </row>
  </sheetData>
  <sheetProtection password="8E0B" sheet="1" objects="1" scenarios="1"/>
  <mergeCells count="1">
    <mergeCell ref="F2:I2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Krieger-Charakterblatt</dc:title>
  <dc:subject>RDW</dc:subject>
  <dc:creator>Tyralion</dc:creator>
  <cp:keywords>Ruf des Warlock</cp:keywords>
  <dc:description>Diese Arbeitsmappe steht zur freien Verfügung und kann nach belieben geändert werden.</dc:description>
  <cp:lastModifiedBy>Leonard Schlemmer</cp:lastModifiedBy>
  <cp:lastPrinted>2018-03-25T14:43:21Z</cp:lastPrinted>
  <dcterms:created xsi:type="dcterms:W3CDTF">1999-11-22T16:48:50Z</dcterms:created>
  <dcterms:modified xsi:type="dcterms:W3CDTF">2020-04-22T16:42:40Z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schlussdatum">
    <vt:filetime>2005-03-28T22:00:00Z</vt:filetime>
  </property>
  <property fmtid="{D5CDD505-2E9C-101B-9397-08002B2CF9AE}" pid="3" name="Bearbeitet von">
    <vt:lpwstr>Tyralion</vt:lpwstr>
  </property>
  <property fmtid="{D5CDD505-2E9C-101B-9397-08002B2CF9AE}" pid="4" name="Erstellt von">
    <vt:lpwstr>Tyralion</vt:lpwstr>
  </property>
  <property fmtid="{D5CDD505-2E9C-101B-9397-08002B2CF9AE}" pid="5" name="Kontrolliert von">
    <vt:lpwstr>Medivh</vt:lpwstr>
  </property>
</Properties>
</file>